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40" tabRatio="601" activeTab="0"/>
  </bookViews>
  <sheets>
    <sheet name="Bal sheet" sheetId="1" r:id="rId1"/>
    <sheet name="income stat" sheetId="2" r:id="rId2"/>
    <sheet name="cash flow" sheetId="3" r:id="rId3"/>
    <sheet name="equity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'income stat'!$A$1:$K$53</definedName>
  </definedNames>
  <calcPr fullCalcOnLoad="1"/>
</workbook>
</file>

<file path=xl/sharedStrings.xml><?xml version="1.0" encoding="utf-8"?>
<sst xmlns="http://schemas.openxmlformats.org/spreadsheetml/2006/main" count="168" uniqueCount="128">
  <si>
    <t>CONDENSED CONSOLIDATED BALANCE SHEETS</t>
  </si>
  <si>
    <t>RM'000</t>
  </si>
  <si>
    <t>Property, plant and equipment</t>
  </si>
  <si>
    <t>Other investment</t>
  </si>
  <si>
    <t xml:space="preserve">   Inventories</t>
  </si>
  <si>
    <t xml:space="preserve">   Trade receivables</t>
  </si>
  <si>
    <t xml:space="preserve">   Other receivables, 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</si>
  <si>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</si>
  <si>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</si>
  <si>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</si>
  <si>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</si>
  <si>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</si>
  <si>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</si>
  <si>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 xml:space="preserve">   Short term borrowings</t>
  </si>
  <si>
    <t xml:space="preserve">   Dividend payable</t>
  </si>
  <si>
    <t>Minority interests</t>
  </si>
  <si>
    <t xml:space="preserve">   Deferred taxation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</si>
  <si>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</si>
  <si>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</si>
  <si>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</si>
  <si>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</si>
  <si>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</si>
  <si>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</si>
  <si>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</si>
  <si>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</si>
  <si>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</si>
  <si>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</si>
  <si>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</si>
  <si>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</si>
  <si>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Revenue</t>
  </si>
  <si>
    <t>Operating expenses</t>
  </si>
  <si>
    <t>Other operating income</t>
  </si>
  <si>
    <t xml:space="preserve">  </t>
  </si>
  <si>
    <t>Profit from operations</t>
  </si>
  <si>
    <t>Finance costs</t>
  </si>
  <si>
    <t>Profit before taxation</t>
  </si>
  <si>
    <t xml:space="preserve"> </t>
  </si>
  <si>
    <t>CONDENSED CONSOLIDATED STATEMENT OF CHANGES IN EQUITY</t>
  </si>
  <si>
    <t xml:space="preserve">Share </t>
  </si>
  <si>
    <t xml:space="preserve">Retained </t>
  </si>
  <si>
    <t>capital</t>
  </si>
  <si>
    <t>premium</t>
  </si>
  <si>
    <t>profits</t>
  </si>
  <si>
    <t>Total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</si>
  <si>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</si>
  <si>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</si>
  <si>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</si>
  <si>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</si>
  <si>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</si>
  <si>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CASH FLOWS FROM INVESTING ACTIVITIES</t>
  </si>
  <si>
    <t>CASH FLOWS FROM FINANCING ACTIVITIES</t>
  </si>
  <si>
    <t>Bank borrowings</t>
  </si>
  <si>
    <t>Dividend paid to the shareholders of the Company</t>
  </si>
  <si>
    <t xml:space="preserve">   Taxation</t>
  </si>
  <si>
    <t>Proceed from issuance of new ordinary shares</t>
  </si>
  <si>
    <t>Issuance of new ordinary shares</t>
  </si>
  <si>
    <t>Share of results of  jointly controlled entities</t>
  </si>
  <si>
    <t xml:space="preserve"> this interim financial report)</t>
  </si>
  <si>
    <t>Share of results of an associated company</t>
  </si>
  <si>
    <t>Investment in an associated company</t>
  </si>
  <si>
    <t>31/03/06</t>
  </si>
  <si>
    <t xml:space="preserve">   Amount owing by an associated company</t>
  </si>
  <si>
    <t xml:space="preserve">Net assets per share (RM) </t>
  </si>
  <si>
    <t>Net assets per share attributable to ordinary</t>
  </si>
  <si>
    <t>shareholders of the parent (RM)</t>
  </si>
  <si>
    <t>Tax expense</t>
  </si>
  <si>
    <t>Attributable to:</t>
  </si>
  <si>
    <t>Equity holders of the parent</t>
  </si>
  <si>
    <t>Earnings per share attributable</t>
  </si>
  <si>
    <t xml:space="preserve"> to equity holders of the parent:</t>
  </si>
  <si>
    <t xml:space="preserve">  Basic (sen)</t>
  </si>
  <si>
    <t xml:space="preserve">  Diluted (sen)</t>
  </si>
  <si>
    <t>Minority</t>
  </si>
  <si>
    <t>Distributable</t>
  </si>
  <si>
    <t>Non-distributable</t>
  </si>
  <si>
    <t>equity</t>
  </si>
  <si>
    <t>At 1 April 2006</t>
  </si>
  <si>
    <t>Total recognised income and expense</t>
  </si>
  <si>
    <t xml:space="preserve">  for the period</t>
  </si>
  <si>
    <t xml:space="preserve">At 1 April 2005 </t>
  </si>
  <si>
    <t>Attributable to equity holders of the parent</t>
  </si>
  <si>
    <t>Negative</t>
  </si>
  <si>
    <t>goodwill</t>
  </si>
  <si>
    <t>Effects of adopting FRS 3</t>
  </si>
  <si>
    <t>interests</t>
  </si>
  <si>
    <t>Amortisation of negative goodwill</t>
  </si>
  <si>
    <t>Investment in a jointly controlled entity</t>
  </si>
  <si>
    <t>Current Assets</t>
  </si>
  <si>
    <t xml:space="preserve">   Amount owing by a jointly controlled entity</t>
  </si>
  <si>
    <t xml:space="preserve">   Amount owing to an associated company</t>
  </si>
  <si>
    <t>Net Current Assets</t>
  </si>
  <si>
    <t xml:space="preserve">EQUITY AND LIABILITIES </t>
  </si>
  <si>
    <t>Share Capital</t>
  </si>
  <si>
    <t>Reserves</t>
  </si>
  <si>
    <t xml:space="preserve">   Retained profits</t>
  </si>
  <si>
    <t xml:space="preserve">   Share premium</t>
  </si>
  <si>
    <t xml:space="preserve">   Negative goodwill</t>
  </si>
  <si>
    <t>Equity atttributable to equity holders of the parent</t>
  </si>
  <si>
    <t>Total equity</t>
  </si>
  <si>
    <t>Deferred Liabilities</t>
  </si>
  <si>
    <t>Loss on disposal of shares in a jointly controlled entity</t>
  </si>
  <si>
    <t>Dividend income</t>
  </si>
  <si>
    <t>Proceed from disposal of shares in a jointly controlled entity</t>
  </si>
  <si>
    <t>Dividend paid to minority interests</t>
  </si>
  <si>
    <t>Net cash inflow from operating activities</t>
  </si>
  <si>
    <t>Net cash outflow from financing activities</t>
  </si>
  <si>
    <t>Net cash inflow from investing activities</t>
  </si>
  <si>
    <t>Cash generated from operations</t>
  </si>
  <si>
    <t xml:space="preserve">Interest paid </t>
  </si>
  <si>
    <t>Tax paid (net of tax refunded)</t>
  </si>
  <si>
    <t>(The figures have not been audited)</t>
  </si>
  <si>
    <t>Fourth quarter interim report for the financial ended 31 March 2007</t>
  </si>
  <si>
    <t>31/03/07</t>
  </si>
  <si>
    <t>31/3/06</t>
  </si>
  <si>
    <t>31/3/07</t>
  </si>
  <si>
    <t>At 31 March 2006</t>
  </si>
  <si>
    <t>At 31 March 2007</t>
  </si>
  <si>
    <t>Profit for the financial year</t>
  </si>
  <si>
    <t>Profit for the year</t>
  </si>
  <si>
    <t>Net increase in cash and cash equivalents</t>
  </si>
  <si>
    <t>Cash and cash equivalents at beginning of financial year</t>
  </si>
  <si>
    <t>Cash and cash equivalents at end of financial year</t>
  </si>
  <si>
    <t>Dividend paid for the year</t>
  </si>
  <si>
    <t xml:space="preserve">(The notes set out on pages 5 to 12 form an integral part of and should be read in conjunction with </t>
  </si>
  <si>
    <t>(The notes set out on pages 5 to 12 form an integral part of and should be read in conjunction with this</t>
  </si>
  <si>
    <t>As Restated</t>
  </si>
  <si>
    <t>Interest income</t>
  </si>
  <si>
    <t>ACOUSTECH BERHAD (496665-W)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</si>
</sst>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172" fontId="0" fillId="0" borderId="0" xfId="0" applyAlignment="1">
      <alignment/>
    </xf>
    <xf numFmtId="172" fontId="3" fillId="0" borderId="0" xfId="0" applyFont="1" applyAlignment="1">
      <alignment horizontal="left"/>
    </xf>
    <xf numFmtId="172" fontId="4" fillId="0" borderId="0" xfId="0" applyFont="1" applyAlignment="1">
      <alignment horizontal="centerContinuous"/>
    </xf>
    <xf numFmtId="164" fontId="4" fillId="0" borderId="0" xfId="15" applyNumberFormat="1" applyFont="1" applyBorder="1" applyAlignment="1">
      <alignment/>
    </xf>
    <xf numFmtId="172" fontId="4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72" fontId="3" fillId="0" borderId="0" xfId="0" applyFont="1" applyAlignment="1" quotePrefix="1">
      <alignment horizontal="left"/>
    </xf>
    <xf numFmtId="172" fontId="4" fillId="0" borderId="0" xfId="0" applyFont="1" applyAlignment="1" quotePrefix="1">
      <alignment horizontal="left"/>
    </xf>
    <xf numFmtId="172" fontId="4" fillId="0" borderId="0" xfId="0" applyFont="1" applyAlignment="1">
      <alignment horizontal="right"/>
    </xf>
    <xf numFmtId="172" fontId="3" fillId="0" borderId="0" xfId="0" applyFont="1" applyAlignment="1">
      <alignment horizontal="right"/>
    </xf>
    <xf numFmtId="172" fontId="3" fillId="0" borderId="0" xfId="0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72" fontId="4" fillId="0" borderId="0" xfId="0" applyFont="1" applyAlignment="1">
      <alignment horizontal="left"/>
    </xf>
    <xf numFmtId="164" fontId="4" fillId="0" borderId="1" xfId="15" applyNumberFormat="1" applyFont="1" applyBorder="1" applyAlignment="1">
      <alignment/>
    </xf>
    <xf numFmtId="164" fontId="3" fillId="0" borderId="0" xfId="15" applyNumberFormat="1" applyFont="1" applyFill="1" applyAlignment="1">
      <alignment/>
    </xf>
    <xf numFmtId="172" fontId="3" fillId="0" borderId="0" xfId="0" applyFont="1" applyAlignment="1" quotePrefix="1">
      <alignment horizontal="centerContinuous"/>
    </xf>
    <xf numFmtId="164" fontId="4" fillId="0" borderId="0" xfId="15" applyNumberFormat="1" applyFont="1" applyFill="1" applyAlignment="1">
      <alignment/>
    </xf>
    <xf numFmtId="172" fontId="4" fillId="0" borderId="0" xfId="0" applyFont="1" applyFill="1" applyAlignment="1">
      <alignment/>
    </xf>
    <xf numFmtId="164" fontId="4" fillId="0" borderId="0" xfId="15" applyNumberFormat="1" applyFont="1" applyFill="1" applyAlignment="1" quotePrefix="1">
      <alignment horizontal="center"/>
    </xf>
    <xf numFmtId="172" fontId="4" fillId="0" borderId="0" xfId="0" applyFont="1" applyFill="1" applyAlignment="1" quotePrefix="1">
      <alignment horizontal="center"/>
    </xf>
    <xf numFmtId="164" fontId="3" fillId="0" borderId="0" xfId="15" applyNumberFormat="1" applyFont="1" applyFill="1" applyAlignment="1" quotePrefix="1">
      <alignment horizontal="centerContinuous"/>
    </xf>
    <xf numFmtId="164" fontId="3" fillId="0" borderId="0" xfId="15" applyNumberFormat="1" applyFont="1" applyFill="1" applyAlignment="1">
      <alignment horizontal="centerContinuous"/>
    </xf>
    <xf numFmtId="172" fontId="3" fillId="0" borderId="0" xfId="0" applyFont="1" applyFill="1" applyAlignment="1">
      <alignment/>
    </xf>
    <xf numFmtId="172" fontId="3" fillId="0" borderId="0" xfId="0" applyFont="1" applyFill="1" applyAlignment="1">
      <alignment horizontal="centerContinuous"/>
    </xf>
    <xf numFmtId="164" fontId="3" fillId="0" borderId="0" xfId="15" applyNumberFormat="1" applyFont="1" applyFill="1" applyAlignment="1">
      <alignment horizontal="right"/>
    </xf>
    <xf numFmtId="172" fontId="3" fillId="0" borderId="0" xfId="0" applyFont="1" applyFill="1" applyAlignment="1">
      <alignment horizontal="right"/>
    </xf>
    <xf numFmtId="164" fontId="3" fillId="0" borderId="0" xfId="15" applyNumberFormat="1" applyFont="1" applyFill="1" applyAlignment="1">
      <alignment horizontal="center"/>
    </xf>
    <xf numFmtId="172" fontId="3" fillId="0" borderId="0" xfId="0" applyFont="1" applyFill="1" applyAlignment="1">
      <alignment horizontal="center"/>
    </xf>
    <xf numFmtId="164" fontId="3" fillId="0" borderId="0" xfId="15" applyNumberFormat="1" applyFont="1" applyFill="1" applyAlignment="1" quotePrefix="1">
      <alignment horizontal="right"/>
    </xf>
    <xf numFmtId="172" fontId="3" fillId="0" borderId="0" xfId="0" applyFont="1" applyFill="1" applyAlignment="1" quotePrefix="1">
      <alignment horizontal="right"/>
    </xf>
    <xf numFmtId="164" fontId="4" fillId="0" borderId="0" xfId="15" applyNumberFormat="1" applyFont="1" applyFill="1" applyAlignment="1">
      <alignment horizontal="center"/>
    </xf>
    <xf numFmtId="172" fontId="4" fillId="0" borderId="0" xfId="0" applyFont="1" applyFill="1" applyAlignment="1">
      <alignment horizontal="center"/>
    </xf>
    <xf numFmtId="164" fontId="3" fillId="0" borderId="0" xfId="15" applyNumberFormat="1" applyFont="1" applyFill="1" applyBorder="1" applyAlignment="1">
      <alignment horizontal="center"/>
    </xf>
    <xf numFmtId="172" fontId="4" fillId="0" borderId="0" xfId="0" applyFont="1" applyFill="1" applyBorder="1" applyAlignment="1">
      <alignment horizontal="center"/>
    </xf>
    <xf numFmtId="164" fontId="4" fillId="0" borderId="0" xfId="15" applyNumberFormat="1" applyFont="1" applyFill="1" applyBorder="1" applyAlignment="1">
      <alignment horizontal="center"/>
    </xf>
    <xf numFmtId="164" fontId="3" fillId="0" borderId="0" xfId="15" applyNumberFormat="1" applyFont="1" applyFill="1" applyBorder="1" applyAlignment="1">
      <alignment/>
    </xf>
    <xf numFmtId="172" fontId="4" fillId="0" borderId="0" xfId="0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 quotePrefix="1">
      <alignment horizontal="left"/>
    </xf>
    <xf numFmtId="164" fontId="4" fillId="0" borderId="0" xfId="15" applyNumberFormat="1" applyFont="1" applyFill="1" applyBorder="1" applyAlignment="1" quotePrefix="1">
      <alignment horizontal="left"/>
    </xf>
    <xf numFmtId="172" fontId="4" fillId="0" borderId="0" xfId="0" applyFont="1" applyAlignment="1" quotePrefix="1">
      <alignment/>
    </xf>
    <xf numFmtId="164" fontId="3" fillId="0" borderId="1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164" fontId="3" fillId="0" borderId="1" xfId="15" applyNumberFormat="1" applyFont="1" applyFill="1" applyBorder="1" applyAlignment="1">
      <alignment horizontal="center"/>
    </xf>
    <xf numFmtId="172" fontId="4" fillId="0" borderId="0" xfId="0" applyFont="1" applyBorder="1" applyAlignment="1">
      <alignment/>
    </xf>
    <xf numFmtId="164" fontId="3" fillId="0" borderId="1" xfId="15" applyNumberFormat="1" applyFont="1" applyFill="1" applyBorder="1" applyAlignment="1" quotePrefix="1">
      <alignment/>
    </xf>
    <xf numFmtId="43" fontId="3" fillId="0" borderId="2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3" fillId="0" borderId="3" xfId="15" applyNumberFormat="1" applyFont="1" applyFill="1" applyBorder="1" applyAlignment="1">
      <alignment horizontal="right"/>
    </xf>
    <xf numFmtId="43" fontId="4" fillId="0" borderId="3" xfId="15" applyNumberFormat="1" applyFont="1" applyFill="1" applyBorder="1" applyAlignment="1">
      <alignment horizontal="right"/>
    </xf>
    <xf numFmtId="43" fontId="3" fillId="0" borderId="0" xfId="15" applyNumberFormat="1" applyFont="1" applyFill="1" applyBorder="1" applyAlignment="1">
      <alignment horizontal="right"/>
    </xf>
    <xf numFmtId="43" fontId="4" fillId="0" borderId="0" xfId="15" applyNumberFormat="1" applyFont="1" applyFill="1" applyBorder="1" applyAlignment="1">
      <alignment horizontal="right"/>
    </xf>
    <xf numFmtId="172" fontId="3" fillId="0" borderId="0" xfId="0" applyFont="1" applyAlignment="1">
      <alignment horizontal="centerContinuous"/>
    </xf>
    <xf numFmtId="172" fontId="3" fillId="0" borderId="0" xfId="0" applyFont="1" applyAlignment="1" quotePrefix="1">
      <alignment horizontal="right"/>
    </xf>
    <xf numFmtId="164" fontId="3" fillId="0" borderId="4" xfId="15" applyNumberFormat="1" applyFont="1" applyBorder="1" applyAlignment="1">
      <alignment/>
    </xf>
    <xf numFmtId="164" fontId="4" fillId="0" borderId="4" xfId="15" applyNumberFormat="1" applyFont="1" applyBorder="1" applyAlignment="1">
      <alignment/>
    </xf>
    <xf numFmtId="172" fontId="5" fillId="0" borderId="0" xfId="0" applyFont="1" applyAlignment="1">
      <alignment horizontal="left"/>
    </xf>
    <xf numFmtId="172" fontId="4" fillId="0" borderId="0" xfId="0" applyFont="1" applyAlignment="1">
      <alignment horizontal="center"/>
    </xf>
    <xf numFmtId="164" fontId="3" fillId="0" borderId="2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7" fontId="4" fillId="0" borderId="0" xfId="15" applyNumberFormat="1" applyFont="1" applyAlignment="1">
      <alignment/>
    </xf>
    <xf numFmtId="172" fontId="6" fillId="0" borderId="0" xfId="0" applyFont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72" fontId="3" fillId="0" borderId="0" xfId="0" applyFont="1" applyAlignment="1">
      <alignment horizontal="center"/>
    </xf>
    <xf numFmtId="172" fontId="3" fillId="0" borderId="0" xfId="0" applyFont="1" applyAlignment="1" quotePrefix="1">
      <alignment horizontal="center"/>
    </xf>
    <xf numFmtId="164" fontId="3" fillId="0" borderId="0" xfId="15" applyNumberFormat="1" applyFont="1" applyAlignment="1">
      <alignment horizontal="center"/>
    </xf>
    <xf numFmtId="164" fontId="3" fillId="0" borderId="0" xfId="15" applyNumberFormat="1" applyFont="1" applyAlignment="1" quotePrefix="1">
      <alignment horizontal="center"/>
    </xf>
    <xf numFmtId="172" fontId="4" fillId="0" borderId="1" xfId="0" applyFont="1" applyBorder="1" applyAlignment="1">
      <alignment/>
    </xf>
    <xf numFmtId="172" fontId="4" fillId="0" borderId="2" xfId="0" applyFont="1" applyBorder="1" applyAlignment="1">
      <alignment/>
    </xf>
    <xf numFmtId="172" fontId="4" fillId="0" borderId="4" xfId="0" applyFont="1" applyBorder="1" applyAlignment="1">
      <alignment/>
    </xf>
    <xf numFmtId="43" fontId="4" fillId="0" borderId="0" xfId="15" applyFont="1" applyBorder="1" applyAlignment="1">
      <alignment/>
    </xf>
    <xf numFmtId="172" fontId="7" fillId="0" borderId="0" xfId="0" applyFont="1" applyAlignment="1">
      <alignment horizontal="left"/>
    </xf>
    <xf numFmtId="172" fontId="8" fillId="0" borderId="0" xfId="0" applyFont="1" applyAlignment="1">
      <alignment horizontal="centerContinuous"/>
    </xf>
    <xf numFmtId="164" fontId="8" fillId="0" borderId="0" xfId="15" applyNumberFormat="1" applyFont="1" applyBorder="1" applyAlignment="1">
      <alignment/>
    </xf>
    <xf numFmtId="172" fontId="8" fillId="0" borderId="0" xfId="0" applyFont="1" applyAlignment="1">
      <alignment/>
    </xf>
    <xf numFmtId="164" fontId="7" fillId="0" borderId="0" xfId="15" applyNumberFormat="1" applyFont="1" applyAlignment="1">
      <alignment/>
    </xf>
    <xf numFmtId="164" fontId="8" fillId="0" borderId="0" xfId="15" applyNumberFormat="1" applyFont="1" applyAlignment="1">
      <alignment/>
    </xf>
    <xf numFmtId="172" fontId="8" fillId="0" borderId="0" xfId="0" applyFont="1" applyAlignment="1">
      <alignment horizontal="right"/>
    </xf>
    <xf numFmtId="172" fontId="7" fillId="0" borderId="0" xfId="0" applyFont="1" applyAlignment="1">
      <alignment horizontal="right"/>
    </xf>
    <xf numFmtId="164" fontId="7" fillId="0" borderId="0" xfId="15" applyNumberFormat="1" applyFont="1" applyAlignment="1" quotePrefix="1">
      <alignment horizontal="right"/>
    </xf>
    <xf numFmtId="164" fontId="7" fillId="0" borderId="0" xfId="15" applyNumberFormat="1" applyFont="1" applyAlignment="1">
      <alignment horizontal="right"/>
    </xf>
    <xf numFmtId="172" fontId="7" fillId="0" borderId="0" xfId="0" applyFont="1" applyAlignment="1">
      <alignment/>
    </xf>
    <xf numFmtId="172" fontId="8" fillId="0" borderId="0" xfId="0" applyFont="1" applyAlignment="1" quotePrefix="1">
      <alignment horizontal="left"/>
    </xf>
    <xf numFmtId="164" fontId="7" fillId="0" borderId="6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7" fillId="0" borderId="7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7" fillId="0" borderId="8" xfId="15" applyNumberFormat="1" applyFont="1" applyBorder="1" applyAlignment="1">
      <alignment/>
    </xf>
    <xf numFmtId="164" fontId="8" fillId="0" borderId="8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7" fillId="0" borderId="7" xfId="15" applyNumberFormat="1" applyFont="1" applyBorder="1" applyAlignment="1" quotePrefix="1">
      <alignment horizontal="left"/>
    </xf>
    <xf numFmtId="164" fontId="8" fillId="0" borderId="7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7" fillId="0" borderId="1" xfId="15" applyNumberFormat="1" applyFont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172" fontId="7" fillId="0" borderId="0" xfId="0" applyFont="1" applyAlignment="1" quotePrefix="1">
      <alignment horizontal="left"/>
    </xf>
    <xf numFmtId="164" fontId="7" fillId="0" borderId="10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72" fontId="8" fillId="0" borderId="0" xfId="0" applyFont="1" applyAlignment="1">
      <alignment horizontal="left"/>
    </xf>
    <xf numFmtId="43" fontId="7" fillId="0" borderId="0" xfId="15" applyFont="1" applyAlignment="1">
      <alignment/>
    </xf>
    <xf numFmtId="43" fontId="8" fillId="0" borderId="0" xfId="15" applyFont="1" applyAlignment="1">
      <alignment/>
    </xf>
    <xf numFmtId="164" fontId="7" fillId="0" borderId="0" xfId="15" applyNumberFormat="1" applyFont="1" applyFill="1" applyAlignment="1">
      <alignment/>
    </xf>
    <xf numFmtId="164" fontId="4" fillId="0" borderId="4" xfId="15" applyNumberFormat="1" applyFont="1" applyFill="1" applyBorder="1" applyAlignment="1">
      <alignment/>
    </xf>
    <xf numFmtId="164" fontId="3" fillId="0" borderId="0" xfId="15" applyNumberFormat="1" applyFont="1" applyFill="1" applyAlignment="1" quotePrefix="1">
      <alignment horizontal="center"/>
    </xf>
    <xf numFmtId="172" fontId="4" fillId="0" borderId="0" xfId="0" applyFont="1" applyFill="1" applyAlignment="1" quotePrefix="1">
      <alignment horizontal="left"/>
    </xf>
    <xf numFmtId="172" fontId="4" fillId="0" borderId="0" xfId="0" applyFont="1" applyAlignment="1" quotePrefix="1">
      <alignment horizontal="center"/>
    </xf>
    <xf numFmtId="172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85725</xdr:rowOff>
    </xdr:from>
    <xdr:to>
      <xdr:col>4</xdr:col>
      <xdr:colOff>38100</xdr:colOff>
      <xdr:row>8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2533650" y="15525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104775</xdr:rowOff>
    </xdr:from>
    <xdr:to>
      <xdr:col>12</xdr:col>
      <xdr:colOff>38100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>
          <a:off x="6515100" y="15716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66675</xdr:rowOff>
    </xdr:from>
    <xdr:to>
      <xdr:col>5</xdr:col>
      <xdr:colOff>457200</xdr:colOff>
      <xdr:row>9</xdr:row>
      <xdr:rowOff>66675</xdr:rowOff>
    </xdr:to>
    <xdr:sp>
      <xdr:nvSpPr>
        <xdr:cNvPr id="3" name="Line 6"/>
        <xdr:cNvSpPr>
          <a:spLocks/>
        </xdr:cNvSpPr>
      </xdr:nvSpPr>
      <xdr:spPr>
        <a:xfrm flipH="1">
          <a:off x="3609975" y="1724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9</xdr:row>
      <xdr:rowOff>66675</xdr:rowOff>
    </xdr:from>
    <xdr:to>
      <xdr:col>7</xdr:col>
      <xdr:colOff>923925</xdr:colOff>
      <xdr:row>9</xdr:row>
      <xdr:rowOff>66675</xdr:rowOff>
    </xdr:to>
    <xdr:sp>
      <xdr:nvSpPr>
        <xdr:cNvPr id="4" name="Line 7"/>
        <xdr:cNvSpPr>
          <a:spLocks/>
        </xdr:cNvSpPr>
      </xdr:nvSpPr>
      <xdr:spPr>
        <a:xfrm>
          <a:off x="4972050" y="1724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%20-1st%20Quartely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%20-4th%20Quartely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coustech-3rd%20Quartely%20Report%20Dec%202006-FORM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consol%20acc%20-4th%20Quartely%202007-after%20audit%20ad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Q-PRICE"/>
      <sheetName val="Basic0606"/>
      <sheetName val="Diluted0606"/>
      <sheetName val="ROA"/>
      <sheetName val="JV-FPEQ'06"/>
      <sheetName val="JV-MUSASHI'06"/>
      <sheetName val="CONSOL ADJ"/>
      <sheetName val="PROF OF MI"/>
      <sheetName val="CONSOL-BS"/>
      <sheetName val="CONSOL-IS"/>
      <sheetName val="CONSOL-CF"/>
      <sheetName val="FPEQ-BS-6'2006"/>
      <sheetName val="FPEQ-PL-6'2006"/>
      <sheetName val="CONSOL-CF-FPT"/>
      <sheetName val="CONSOL-BS-FPT"/>
      <sheetName val="CONSOL-PL-FPT"/>
      <sheetName val="FPC-PL-6'2006"/>
      <sheetName val="FPC-BS-6'2006"/>
      <sheetName val="FPT-BS-6'2006"/>
      <sheetName val="FPT-PL-6'2006"/>
      <sheetName val="ACOU-BS-6'2006"/>
      <sheetName val="ACOU-PL-6'2006"/>
      <sheetName val="Working 1"/>
      <sheetName val="result"/>
      <sheetName val="taxation"/>
    </sheetNames>
    <sheetDataSet>
      <sheetData sheetId="2">
        <row r="24">
          <cell r="D24">
            <v>2.8982685217080717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Q-PRICE"/>
      <sheetName val="Basic0307"/>
      <sheetName val="Diluted0307"/>
      <sheetName val="ROA"/>
      <sheetName val="JV-FPEQ'07"/>
      <sheetName val="JV-MUSASHI'07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T-BS-3'2007"/>
      <sheetName val="FPT-PL-3'2007"/>
      <sheetName val="FPEQ-BS-3'2007"/>
      <sheetName val="FPEQ-PL-3'2007"/>
      <sheetName val="FPC-BS-3'2006"/>
      <sheetName val="FPC-PL-3'2007"/>
      <sheetName val="ACOU-BS-3'2007"/>
      <sheetName val="ACOU-PL-3'2007"/>
      <sheetName val="Working 1"/>
    </sheetNames>
    <sheetDataSet>
      <sheetData sheetId="8">
        <row r="37">
          <cell r="U37">
            <v>0</v>
          </cell>
        </row>
        <row r="64">
          <cell r="U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 sheet"/>
      <sheetName val="income stat"/>
      <sheetName val="cash flow"/>
      <sheetName val="equity"/>
    </sheetNames>
    <sheetDataSet>
      <sheetData sheetId="1">
        <row r="17">
          <cell r="H17">
            <v>251185.96455</v>
          </cell>
        </row>
        <row r="19">
          <cell r="H19">
            <v>-233881.08854</v>
          </cell>
        </row>
        <row r="23">
          <cell r="H23">
            <v>2072.1290299999987</v>
          </cell>
        </row>
        <row r="25">
          <cell r="H25">
            <v>19377.00504000001</v>
          </cell>
        </row>
        <row r="27">
          <cell r="H27">
            <v>-404.94635999999997</v>
          </cell>
        </row>
        <row r="29">
          <cell r="H29">
            <v>1932.8399069999998</v>
          </cell>
        </row>
        <row r="31">
          <cell r="H31">
            <v>187.819145</v>
          </cell>
        </row>
        <row r="35">
          <cell r="H35">
            <v>-4302.780119999999</v>
          </cell>
        </row>
        <row r="41">
          <cell r="H41">
            <v>1067.8935903630006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Q-PRICE"/>
      <sheetName val="Basic0307"/>
      <sheetName val="Diluted0307"/>
      <sheetName val="ROA"/>
      <sheetName val="JV-FPEQ'07"/>
      <sheetName val="JV-MUSASHI'07"/>
      <sheetName val="CONSOL ADJ"/>
      <sheetName val="PROF OF MI"/>
      <sheetName val="CONSOL-BS"/>
      <sheetName val="CONSOL-IS"/>
      <sheetName val="CONSOL-CF"/>
      <sheetName val="CONSOL-CF-FPT"/>
      <sheetName val="CONSOL-BS-FPT"/>
      <sheetName val="CONSOL-PL-FPT"/>
      <sheetName val="FPT-BS-3'2007"/>
      <sheetName val="FPT-PL-3'2007"/>
      <sheetName val="FPEQ-BS-3'2007"/>
      <sheetName val="FPEQ-PL-3'2007"/>
      <sheetName val="FPC-BS-3'2006"/>
      <sheetName val="FPC-PL-3'2007"/>
      <sheetName val="ACOU-BS-3'2007"/>
      <sheetName val="ACOU-PL-3'2007"/>
      <sheetName val="Working 1"/>
    </sheetNames>
    <sheetDataSet>
      <sheetData sheetId="1">
        <row r="108">
          <cell r="C108">
            <v>9.81</v>
          </cell>
        </row>
        <row r="172">
          <cell r="C172">
            <v>0.68</v>
          </cell>
        </row>
      </sheetData>
      <sheetData sheetId="2">
        <row r="24">
          <cell r="D24">
            <v>9.75</v>
          </cell>
        </row>
        <row r="46">
          <cell r="D46">
            <v>0.67</v>
          </cell>
        </row>
      </sheetData>
      <sheetData sheetId="8">
        <row r="10">
          <cell r="U10">
            <v>49183049</v>
          </cell>
        </row>
        <row r="17">
          <cell r="U17">
            <v>2053987</v>
          </cell>
        </row>
        <row r="20">
          <cell r="U20">
            <v>5868436</v>
          </cell>
        </row>
        <row r="25">
          <cell r="U25">
            <v>3755630</v>
          </cell>
        </row>
        <row r="29">
          <cell r="U29">
            <v>27481998</v>
          </cell>
        </row>
        <row r="30">
          <cell r="U30">
            <v>62378397</v>
          </cell>
        </row>
        <row r="31">
          <cell r="U31">
            <v>798520</v>
          </cell>
        </row>
        <row r="35">
          <cell r="U35">
            <v>530093</v>
          </cell>
        </row>
        <row r="38">
          <cell r="U38">
            <v>20492</v>
          </cell>
        </row>
        <row r="48">
          <cell r="U48">
            <v>39207153</v>
          </cell>
        </row>
        <row r="49">
          <cell r="U49">
            <v>5984474</v>
          </cell>
        </row>
        <row r="54">
          <cell r="U54">
            <v>32737387</v>
          </cell>
        </row>
        <row r="55">
          <cell r="U55">
            <v>4323077</v>
          </cell>
        </row>
        <row r="57">
          <cell r="U57">
            <v>244567</v>
          </cell>
        </row>
        <row r="69">
          <cell r="U69">
            <v>3925000</v>
          </cell>
        </row>
        <row r="70">
          <cell r="U70">
            <v>-56299</v>
          </cell>
        </row>
        <row r="79">
          <cell r="U79">
            <v>88191800</v>
          </cell>
        </row>
        <row r="85">
          <cell r="U85">
            <v>7170391</v>
          </cell>
        </row>
        <row r="95">
          <cell r="U95">
            <v>52401781</v>
          </cell>
        </row>
        <row r="99">
          <cell r="U99">
            <v>4991525</v>
          </cell>
        </row>
        <row r="107">
          <cell r="U107">
            <v>3333000</v>
          </cell>
        </row>
      </sheetData>
      <sheetData sheetId="9">
        <row r="9">
          <cell r="U9">
            <v>314492331</v>
          </cell>
        </row>
        <row r="29">
          <cell r="U29">
            <v>489770</v>
          </cell>
        </row>
        <row r="32">
          <cell r="U32">
            <v>17256036</v>
          </cell>
        </row>
        <row r="49">
          <cell r="U49">
            <v>2332403</v>
          </cell>
        </row>
        <row r="51">
          <cell r="U51">
            <v>2427479</v>
          </cell>
        </row>
        <row r="53">
          <cell r="U53">
            <v>319413</v>
          </cell>
        </row>
        <row r="68">
          <cell r="U68">
            <v>-4343956</v>
          </cell>
        </row>
        <row r="72">
          <cell r="U72">
            <v>-1087344</v>
          </cell>
        </row>
      </sheetData>
      <sheetData sheetId="10">
        <row r="10">
          <cell r="Z10">
            <v>22335330</v>
          </cell>
        </row>
        <row r="14">
          <cell r="Z14">
            <v>4333431</v>
          </cell>
        </row>
        <row r="18">
          <cell r="Z18">
            <v>30431</v>
          </cell>
        </row>
        <row r="19">
          <cell r="Z19">
            <v>460412</v>
          </cell>
        </row>
        <row r="21">
          <cell r="Z21">
            <v>-2427479</v>
          </cell>
        </row>
        <row r="22">
          <cell r="Z22">
            <v>-319413</v>
          </cell>
        </row>
        <row r="23">
          <cell r="Z23">
            <v>-584088</v>
          </cell>
        </row>
        <row r="24">
          <cell r="Z24">
            <v>-187500</v>
          </cell>
        </row>
        <row r="25">
          <cell r="Z25">
            <v>-109358</v>
          </cell>
        </row>
        <row r="43">
          <cell r="Z43">
            <v>26004037</v>
          </cell>
        </row>
        <row r="45">
          <cell r="Z45">
            <v>-460412</v>
          </cell>
        </row>
        <row r="46">
          <cell r="Z46">
            <v>1110043</v>
          </cell>
        </row>
        <row r="47">
          <cell r="Z47">
            <v>-5914958</v>
          </cell>
        </row>
        <row r="54">
          <cell r="Z54">
            <v>584088</v>
          </cell>
        </row>
        <row r="55">
          <cell r="Z55">
            <v>187500</v>
          </cell>
        </row>
        <row r="56">
          <cell r="Z56">
            <v>2998505</v>
          </cell>
        </row>
        <row r="57">
          <cell r="Z57">
            <v>740008</v>
          </cell>
        </row>
        <row r="59">
          <cell r="Z59">
            <v>116000</v>
          </cell>
        </row>
        <row r="61">
          <cell r="Z61">
            <v>-4343523</v>
          </cell>
        </row>
        <row r="72">
          <cell r="Z72">
            <v>-2923000</v>
          </cell>
        </row>
        <row r="76">
          <cell r="Z76">
            <v>5369482</v>
          </cell>
        </row>
        <row r="84">
          <cell r="Z84">
            <v>-19318535</v>
          </cell>
        </row>
        <row r="89">
          <cell r="Z89">
            <v>-6709</v>
          </cell>
        </row>
        <row r="100">
          <cell r="Z100">
            <v>41048725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80" zoomScaleNormal="80" workbookViewId="0" topLeftCell="A31">
      <selection activeCell="B65" sqref="B65"/>
    </sheetView>
  </sheetViews>
  <sheetFormatPr defaultColWidth="9.140625" defaultRowHeight="12.75"/>
  <cols>
    <col min="1" max="1" width="2.7109375" style="77" customWidth="1"/>
    <col min="2" max="2" width="44.28125" style="77" customWidth="1"/>
    <col min="3" max="3" width="0.42578125" style="77" customWidth="1"/>
    <col min="4" max="4" width="15.28125" style="78" customWidth="1"/>
    <col min="5" max="5" width="1.1484375" style="79" customWidth="1"/>
    <col min="6" max="6" width="15.28125" style="79" customWidth="1"/>
    <col min="7" max="7" width="1.1484375" style="77" customWidth="1"/>
    <col min="8" max="16384" width="9.140625" style="77" customWidth="1"/>
  </cols>
  <sheetData>
    <row r="1" spans="1:7" ht="19.5" customHeight="1">
      <c r="A1" s="54" t="s">
        <v>127</v>
      </c>
      <c r="B1" s="17"/>
      <c r="C1" s="75"/>
      <c r="D1" s="75"/>
      <c r="E1" s="75"/>
      <c r="F1" s="75"/>
      <c r="G1" s="75"/>
    </row>
    <row r="2" spans="1:7" ht="11.25" customHeight="1">
      <c r="A2" s="75"/>
      <c r="B2" s="75"/>
      <c r="C2" s="75"/>
      <c r="D2" s="75"/>
      <c r="E2" s="75"/>
      <c r="F2" s="75"/>
      <c r="G2" s="75"/>
    </row>
    <row r="3" spans="1:7" ht="11.25" customHeight="1">
      <c r="A3" s="75"/>
      <c r="B3" s="75"/>
      <c r="C3" s="75"/>
      <c r="D3" s="75"/>
      <c r="E3" s="75"/>
      <c r="F3" s="75"/>
      <c r="G3" s="75"/>
    </row>
    <row r="4" spans="1:7" ht="11.25" customHeight="1">
      <c r="A4" s="75"/>
      <c r="B4" s="75"/>
      <c r="C4" s="75"/>
      <c r="D4" s="75"/>
      <c r="E4" s="75"/>
      <c r="F4" s="75"/>
      <c r="G4" s="75"/>
    </row>
    <row r="5" spans="1:7" ht="11.25" customHeight="1">
      <c r="A5" s="75"/>
      <c r="B5" s="75"/>
      <c r="C5" s="75"/>
      <c r="D5" s="75"/>
      <c r="E5" s="75"/>
      <c r="F5" s="75"/>
      <c r="G5" s="75"/>
    </row>
    <row r="6" spans="1:7" ht="11.25" customHeight="1">
      <c r="A6" s="75"/>
      <c r="B6" s="75"/>
      <c r="C6" s="75"/>
      <c r="D6" s="75"/>
      <c r="E6" s="75"/>
      <c r="F6" s="75"/>
      <c r="G6" s="75"/>
    </row>
    <row r="7" ht="11.25" customHeight="1"/>
    <row r="8" ht="14.25">
      <c r="A8" s="7" t="s">
        <v>111</v>
      </c>
    </row>
    <row r="9" ht="15">
      <c r="A9" s="8" t="s">
        <v>110</v>
      </c>
    </row>
    <row r="11" ht="12.75">
      <c r="A11" s="74" t="s">
        <v>0</v>
      </c>
    </row>
    <row r="12" spans="2:6" s="80" customFormat="1" ht="12.75">
      <c r="B12" s="81"/>
      <c r="D12" s="82" t="s">
        <v>112</v>
      </c>
      <c r="E12" s="83"/>
      <c r="F12" s="82" t="s">
        <v>60</v>
      </c>
    </row>
    <row r="13" spans="4:7" s="80" customFormat="1" ht="12.75">
      <c r="D13" s="83" t="s">
        <v>1</v>
      </c>
      <c r="E13" s="83"/>
      <c r="F13" s="83" t="s">
        <v>1</v>
      </c>
      <c r="G13" s="81"/>
    </row>
    <row r="14" ht="12.75">
      <c r="B14" s="84"/>
    </row>
    <row r="15" spans="2:6" ht="12.75">
      <c r="B15" s="77" t="s">
        <v>2</v>
      </c>
      <c r="D15" s="78">
        <f>+'[4]CONSOL-BS'!$U$10/1000</f>
        <v>49183.049</v>
      </c>
      <c r="F15" s="79">
        <v>49210</v>
      </c>
    </row>
    <row r="16" spans="2:6" ht="12.75">
      <c r="B16" s="85" t="s">
        <v>86</v>
      </c>
      <c r="D16" s="78">
        <f>+'[4]CONSOL-BS'!$U$17/1000</f>
        <v>2053.987</v>
      </c>
      <c r="F16" s="79">
        <v>2475</v>
      </c>
    </row>
    <row r="17" spans="2:6" ht="12.75">
      <c r="B17" s="85" t="s">
        <v>59</v>
      </c>
      <c r="D17" s="78">
        <f>+'[4]CONSOL-BS'!$U$20/1000</f>
        <v>5868.436</v>
      </c>
      <c r="F17" s="79">
        <v>6315</v>
      </c>
    </row>
    <row r="18" spans="2:6" ht="12.75">
      <c r="B18" s="85" t="s">
        <v>3</v>
      </c>
      <c r="D18" s="78">
        <f>+'[4]CONSOL-BS'!$U$25/1000</f>
        <v>3755.63</v>
      </c>
      <c r="F18" s="79">
        <v>3756</v>
      </c>
    </row>
    <row r="19" ht="9.75" customHeight="1"/>
    <row r="20" ht="12.75">
      <c r="B20" s="77" t="s">
        <v>87</v>
      </c>
    </row>
    <row r="21" spans="2:6" ht="12.75">
      <c r="B21" s="77" t="s">
        <v>4</v>
      </c>
      <c r="D21" s="86">
        <f>+'[4]CONSOL-BS'!$U$29/1000</f>
        <v>27481.998</v>
      </c>
      <c r="E21" s="76"/>
      <c r="F21" s="87">
        <v>27546</v>
      </c>
    </row>
    <row r="22" spans="2:6" ht="12.75">
      <c r="B22" s="77" t="s">
        <v>5</v>
      </c>
      <c r="D22" s="88">
        <f>+'[4]CONSOL-BS'!$U$30/1000</f>
        <v>62378.397</v>
      </c>
      <c r="E22" s="76"/>
      <c r="F22" s="89">
        <v>64520</v>
      </c>
    </row>
    <row r="23" spans="2:6" ht="12.75">
      <c r="B23" s="77" t="s">
        <v>6</v>
      </c>
      <c r="D23" s="88">
        <f>+'[4]CONSOL-BS'!$U$31/1000</f>
        <v>798.52</v>
      </c>
      <c r="E23" s="76"/>
      <c r="F23" s="89">
        <v>659</v>
      </c>
    </row>
    <row r="24" spans="2:6" ht="12.75">
      <c r="B24" s="85" t="s">
        <v>88</v>
      </c>
      <c r="D24" s="88">
        <f>+'[4]CONSOL-BS'!$U$38/1000</f>
        <v>20.492</v>
      </c>
      <c r="E24" s="76"/>
      <c r="F24" s="89">
        <v>1172</v>
      </c>
    </row>
    <row r="25" spans="2:6" ht="12.75">
      <c r="B25" s="85" t="s">
        <v>61</v>
      </c>
      <c r="D25" s="88">
        <f>+'[2]CONSOL-BS'!$U$37/1000</f>
        <v>0</v>
      </c>
      <c r="E25" s="76"/>
      <c r="F25" s="89">
        <v>1711</v>
      </c>
    </row>
    <row r="26" spans="2:6" ht="12.75">
      <c r="B26" s="77" t="s">
        <v>7</v>
      </c>
      <c r="D26" s="88">
        <f>(+'[4]CONSOL-BS'!$U$35-'[4]CONSOL-BS'!$U$70)/1000</f>
        <v>586.392</v>
      </c>
      <c r="E26" s="76"/>
      <c r="F26" s="89">
        <v>1594</v>
      </c>
    </row>
    <row r="27" spans="2:6" ht="12.75">
      <c r="B27" s="77" t="s">
        <v>8</v>
      </c>
      <c r="D27" s="88">
        <f>+'[4]CONSOL-BS'!$U$48/1000</f>
        <v>39207.153</v>
      </c>
      <c r="E27" s="76"/>
      <c r="F27" s="89">
        <v>31931</v>
      </c>
    </row>
    <row r="28" spans="2:6" ht="12.75">
      <c r="B28" s="77" t="s">
        <v>9</v>
      </c>
      <c r="D28" s="90">
        <f>+'[4]CONSOL-BS'!$U$49/1000</f>
        <v>5984.474</v>
      </c>
      <c r="E28" s="76"/>
      <c r="F28" s="91">
        <v>9117</v>
      </c>
    </row>
    <row r="29" spans="4:6" ht="12.75">
      <c r="D29" s="90">
        <f>SUM(D21:D28)-1</f>
        <v>136456.42599999998</v>
      </c>
      <c r="E29" s="76"/>
      <c r="F29" s="91">
        <f>SUM(F21:F28)</f>
        <v>138250</v>
      </c>
    </row>
    <row r="30" ht="7.5" customHeight="1"/>
    <row r="31" spans="2:6" ht="12.75">
      <c r="B31" s="77" t="s">
        <v>10</v>
      </c>
      <c r="E31" s="76"/>
      <c r="F31" s="92"/>
    </row>
    <row r="32" spans="2:6" ht="12.75">
      <c r="B32" s="77" t="s">
        <v>11</v>
      </c>
      <c r="D32" s="86">
        <f>+'[4]CONSOL-BS'!$U$54/1000</f>
        <v>32737.387</v>
      </c>
      <c r="E32" s="76"/>
      <c r="F32" s="87">
        <v>35038</v>
      </c>
    </row>
    <row r="33" spans="2:6" ht="12.75">
      <c r="B33" s="77" t="s">
        <v>12</v>
      </c>
      <c r="D33" s="88">
        <f>+'[4]CONSOL-BS'!$U$55/1000</f>
        <v>4323.077</v>
      </c>
      <c r="E33" s="76"/>
      <c r="F33" s="89">
        <f>4646+76</f>
        <v>4722</v>
      </c>
    </row>
    <row r="34" spans="2:6" ht="12.75">
      <c r="B34" s="85" t="s">
        <v>89</v>
      </c>
      <c r="D34" s="88">
        <f>+'[4]CONSOL-BS'!$U$57/1000</f>
        <v>244.567</v>
      </c>
      <c r="E34" s="76"/>
      <c r="F34" s="89">
        <v>0</v>
      </c>
    </row>
    <row r="35" spans="2:6" ht="12.75">
      <c r="B35" s="77" t="s">
        <v>13</v>
      </c>
      <c r="D35" s="93">
        <f>+'[4]CONSOL-BS'!$U$69/1000</f>
        <v>3925</v>
      </c>
      <c r="E35" s="76"/>
      <c r="F35" s="94">
        <v>6855</v>
      </c>
    </row>
    <row r="36" spans="2:6" ht="12.75">
      <c r="B36" s="77" t="s">
        <v>14</v>
      </c>
      <c r="D36" s="93">
        <f>+'[2]CONSOL-BS'!$U$64/1000</f>
        <v>0</v>
      </c>
      <c r="E36" s="76"/>
      <c r="F36" s="94">
        <v>5434</v>
      </c>
    </row>
    <row r="37" spans="2:6" ht="12.75">
      <c r="B37" s="85" t="s">
        <v>53</v>
      </c>
      <c r="D37" s="90">
        <v>0</v>
      </c>
      <c r="E37" s="76"/>
      <c r="F37" s="95">
        <v>1004</v>
      </c>
    </row>
    <row r="38" spans="4:6" ht="12.75">
      <c r="D38" s="90">
        <f>SUM(D32:D37)</f>
        <v>41230.031</v>
      </c>
      <c r="E38" s="76"/>
      <c r="F38" s="91">
        <f>SUM(F32:F37)</f>
        <v>53053</v>
      </c>
    </row>
    <row r="39" ht="3.75" customHeight="1"/>
    <row r="40" spans="2:6" ht="15" customHeight="1">
      <c r="B40" s="77" t="s">
        <v>90</v>
      </c>
      <c r="D40" s="96">
        <f>+D29-D38</f>
        <v>95226.39499999997</v>
      </c>
      <c r="E40" s="76"/>
      <c r="F40" s="92">
        <f>+F29-F38</f>
        <v>85197</v>
      </c>
    </row>
    <row r="41" spans="4:6" ht="15" customHeight="1" thickBot="1">
      <c r="D41" s="97">
        <f>+D40+D15+D16+D18+D17</f>
        <v>156087.49699999994</v>
      </c>
      <c r="E41" s="76"/>
      <c r="F41" s="98">
        <f>+F40+F15+F16+F18+F17</f>
        <v>146953</v>
      </c>
    </row>
    <row r="42" ht="13.5" thickTop="1"/>
    <row r="43" ht="0.75" customHeight="1"/>
    <row r="44" ht="12.75">
      <c r="B44" s="99" t="s">
        <v>91</v>
      </c>
    </row>
    <row r="45" spans="2:6" ht="12.75">
      <c r="B45" s="77" t="s">
        <v>92</v>
      </c>
      <c r="D45" s="78">
        <f>+'[4]CONSOL-BS'!$U$79/1000</f>
        <v>88191.8</v>
      </c>
      <c r="E45" s="76"/>
      <c r="F45" s="79">
        <v>83857</v>
      </c>
    </row>
    <row r="46" ht="7.5" customHeight="1">
      <c r="E46" s="76"/>
    </row>
    <row r="47" spans="2:6" ht="12.75">
      <c r="B47" s="77" t="s">
        <v>93</v>
      </c>
      <c r="D47" s="86"/>
      <c r="E47" s="76"/>
      <c r="F47" s="87"/>
    </row>
    <row r="48" spans="2:6" ht="12.75">
      <c r="B48" s="85" t="s">
        <v>94</v>
      </c>
      <c r="D48" s="88">
        <f>+'[4]CONSOL-BS'!$U$95/1000-1</f>
        <v>52400.781</v>
      </c>
      <c r="E48" s="76"/>
      <c r="F48" s="89">
        <f>48591-76</f>
        <v>48515</v>
      </c>
    </row>
    <row r="49" spans="2:6" ht="12.75">
      <c r="B49" s="77" t="s">
        <v>95</v>
      </c>
      <c r="D49" s="88">
        <f>+'[4]CONSOL-BS'!$U$85/1000</f>
        <v>7170.391</v>
      </c>
      <c r="E49" s="76"/>
      <c r="F49" s="89">
        <v>6136</v>
      </c>
    </row>
    <row r="50" spans="2:6" ht="12.75">
      <c r="B50" s="85" t="s">
        <v>96</v>
      </c>
      <c r="D50" s="90">
        <v>0</v>
      </c>
      <c r="E50" s="76"/>
      <c r="F50" s="91">
        <v>741</v>
      </c>
    </row>
    <row r="51" spans="4:6" ht="12.75">
      <c r="D51" s="100">
        <f>SUM(D48:D50)</f>
        <v>59571.172000000006</v>
      </c>
      <c r="E51" s="76"/>
      <c r="F51" s="101">
        <f>SUM(F48:F50)</f>
        <v>55392</v>
      </c>
    </row>
    <row r="52" spans="2:6" ht="15" customHeight="1">
      <c r="B52" s="99" t="s">
        <v>97</v>
      </c>
      <c r="D52" s="102">
        <f>+D51+D45</f>
        <v>147762.972</v>
      </c>
      <c r="E52" s="76"/>
      <c r="F52" s="76">
        <f>+F51+F45</f>
        <v>139249</v>
      </c>
    </row>
    <row r="53" spans="2:6" ht="15" customHeight="1">
      <c r="B53" s="103" t="s">
        <v>15</v>
      </c>
      <c r="D53" s="96">
        <f>+'[4]CONSOL-BS'!$U$99/1000-1</f>
        <v>4990.525</v>
      </c>
      <c r="E53" s="76"/>
      <c r="F53" s="92">
        <v>3904</v>
      </c>
    </row>
    <row r="54" spans="2:6" ht="15" customHeight="1">
      <c r="B54" s="74" t="s">
        <v>98</v>
      </c>
      <c r="D54" s="78">
        <f>+D52+D53+1</f>
        <v>152754.497</v>
      </c>
      <c r="E54" s="76"/>
      <c r="F54" s="76">
        <f>+F52+F53</f>
        <v>143153</v>
      </c>
    </row>
    <row r="55" spans="2:6" ht="9.75" customHeight="1">
      <c r="B55" s="103"/>
      <c r="E55" s="76"/>
      <c r="F55" s="76"/>
    </row>
    <row r="56" ht="12.75">
      <c r="B56" s="85" t="s">
        <v>99</v>
      </c>
    </row>
    <row r="57" spans="2:6" ht="12.75">
      <c r="B57" s="77" t="s">
        <v>16</v>
      </c>
      <c r="D57" s="78">
        <f>+'[4]CONSOL-BS'!$U$107/1000</f>
        <v>3333</v>
      </c>
      <c r="F57" s="79">
        <v>3800</v>
      </c>
    </row>
    <row r="58" spans="4:6" ht="13.5" thickBot="1">
      <c r="D58" s="97">
        <f>+D54+D57</f>
        <v>156087.497</v>
      </c>
      <c r="E58" s="76"/>
      <c r="F58" s="98">
        <f>+F54+F57</f>
        <v>146953</v>
      </c>
    </row>
    <row r="59" ht="8.25" customHeight="1" thickTop="1"/>
    <row r="60" spans="2:6" ht="12.75">
      <c r="B60" s="85" t="s">
        <v>62</v>
      </c>
      <c r="D60" s="104">
        <f>(+D52+D53)/(D45*2)</f>
        <v>0.8660300447433888</v>
      </c>
      <c r="E60" s="105"/>
      <c r="F60" s="104">
        <f>(+F52+F53)/(F45*2)</f>
        <v>0.8535542649987479</v>
      </c>
    </row>
    <row r="61" ht="6" customHeight="1">
      <c r="E61" s="105"/>
    </row>
    <row r="62" spans="2:5" ht="12.75">
      <c r="B62" s="77" t="s">
        <v>63</v>
      </c>
      <c r="E62" s="105"/>
    </row>
    <row r="63" spans="2:6" ht="12.75">
      <c r="B63" s="77" t="s">
        <v>64</v>
      </c>
      <c r="D63" s="104">
        <f>(+D52)/(D45*2)</f>
        <v>0.8377364562238213</v>
      </c>
      <c r="E63" s="105"/>
      <c r="F63" s="104">
        <f>(+F52)/(F45*2)</f>
        <v>0.8302765422087601</v>
      </c>
    </row>
    <row r="64" spans="4:6" ht="12.75">
      <c r="D64" s="104"/>
      <c r="E64" s="105"/>
      <c r="F64" s="104"/>
    </row>
    <row r="65" ht="12.75">
      <c r="B65" s="99" t="s">
        <v>123</v>
      </c>
    </row>
    <row r="66" ht="12.75">
      <c r="B66" s="99" t="s">
        <v>57</v>
      </c>
    </row>
    <row r="67" ht="12.75">
      <c r="D67" s="104"/>
    </row>
    <row r="70" ht="12.75">
      <c r="D70" s="106"/>
    </row>
  </sheetData>
  <printOptions/>
  <pageMargins left="0.75" right="0.75" top="0.61" bottom="0.19" header="0.5" footer="0.38"/>
  <pageSetup horizontalDpi="600" verticalDpi="600" orientation="portrait" paperSize="9" scale="92" r:id="rId1"/>
  <headerFooter alignWithMargins="0"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4" customWidth="1"/>
    <col min="2" max="2" width="48.140625" style="4" customWidth="1"/>
    <col min="3" max="3" width="0.5625" style="4" customWidth="1"/>
    <col min="4" max="4" width="12.7109375" style="18" customWidth="1"/>
    <col min="5" max="5" width="0.85546875" style="19" customWidth="1"/>
    <col min="6" max="6" width="17.8515625" style="18" bestFit="1" customWidth="1"/>
    <col min="7" max="7" width="0.85546875" style="19" customWidth="1"/>
    <col min="8" max="8" width="12.7109375" style="19" customWidth="1"/>
    <col min="9" max="9" width="0.85546875" style="19" customWidth="1"/>
    <col min="10" max="10" width="17.8515625" style="18" bestFit="1" customWidth="1"/>
    <col min="11" max="11" width="0.85546875" style="4" customWidth="1"/>
    <col min="12" max="16384" width="9.140625" style="4" customWidth="1"/>
  </cols>
  <sheetData>
    <row r="1" spans="1:10" ht="15">
      <c r="A1" s="54" t="s">
        <v>127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>
      <c r="A2" s="1"/>
      <c r="B2" s="7"/>
      <c r="C2" s="7"/>
      <c r="D2" s="7"/>
      <c r="E2" s="7"/>
      <c r="F2" s="7"/>
      <c r="G2" s="7"/>
      <c r="H2" s="7"/>
      <c r="I2" s="7"/>
      <c r="J2" s="7"/>
    </row>
    <row r="4" ht="15">
      <c r="A4" s="7" t="str">
        <f>+'Bal sheet'!A8</f>
        <v>Fourth quarter interim report for the financial ended 31 March 2007</v>
      </c>
    </row>
    <row r="5" ht="15">
      <c r="A5" s="8" t="s">
        <v>110</v>
      </c>
    </row>
    <row r="6" spans="4:8" ht="15">
      <c r="D6" s="20"/>
      <c r="H6" s="21"/>
    </row>
    <row r="7" spans="1:8" ht="15">
      <c r="A7" s="1" t="s">
        <v>18</v>
      </c>
      <c r="D7" s="20"/>
      <c r="H7" s="21"/>
    </row>
    <row r="8" spans="4:8" ht="15">
      <c r="D8" s="20"/>
      <c r="F8" s="4"/>
      <c r="H8" s="21"/>
    </row>
    <row r="9" spans="4:10" ht="15">
      <c r="D9" s="22" t="s">
        <v>19</v>
      </c>
      <c r="E9" s="23"/>
      <c r="F9" s="23"/>
      <c r="G9" s="24"/>
      <c r="H9" s="25" t="s">
        <v>20</v>
      </c>
      <c r="I9" s="25"/>
      <c r="J9" s="25"/>
    </row>
    <row r="10" spans="4:10" s="9" customFormat="1" ht="15">
      <c r="D10" s="26" t="s">
        <v>21</v>
      </c>
      <c r="E10" s="27"/>
      <c r="F10" s="26" t="s">
        <v>22</v>
      </c>
      <c r="G10" s="27"/>
      <c r="H10" s="27" t="s">
        <v>21</v>
      </c>
      <c r="I10" s="27"/>
      <c r="J10" s="26" t="s">
        <v>22</v>
      </c>
    </row>
    <row r="11" spans="4:10" s="9" customFormat="1" ht="15">
      <c r="D11" s="26" t="s">
        <v>23</v>
      </c>
      <c r="E11" s="27"/>
      <c r="F11" s="26" t="s">
        <v>24</v>
      </c>
      <c r="G11" s="27"/>
      <c r="H11" s="27" t="s">
        <v>23</v>
      </c>
      <c r="I11" s="27"/>
      <c r="J11" s="26" t="s">
        <v>25</v>
      </c>
    </row>
    <row r="12" spans="4:10" s="9" customFormat="1" ht="15">
      <c r="D12" s="26" t="s">
        <v>26</v>
      </c>
      <c r="E12" s="27"/>
      <c r="F12" s="26" t="s">
        <v>26</v>
      </c>
      <c r="G12" s="27"/>
      <c r="H12" s="27" t="s">
        <v>27</v>
      </c>
      <c r="I12" s="27"/>
      <c r="J12" s="26" t="s">
        <v>28</v>
      </c>
    </row>
    <row r="13" spans="4:10" ht="15">
      <c r="D13" s="28"/>
      <c r="E13" s="29"/>
      <c r="F13" s="28" t="s">
        <v>125</v>
      </c>
      <c r="G13" s="29"/>
      <c r="H13" s="29"/>
      <c r="I13" s="29"/>
      <c r="J13" s="28" t="s">
        <v>125</v>
      </c>
    </row>
    <row r="14" spans="4:10" s="9" customFormat="1" ht="15">
      <c r="D14" s="30" t="s">
        <v>112</v>
      </c>
      <c r="E14" s="27"/>
      <c r="F14" s="108" t="s">
        <v>60</v>
      </c>
      <c r="G14" s="27"/>
      <c r="H14" s="31" t="str">
        <f>+D14</f>
        <v>31/03/07</v>
      </c>
      <c r="I14" s="27"/>
      <c r="J14" s="108" t="str">
        <f>+F14</f>
        <v>31/03/06</v>
      </c>
    </row>
    <row r="15" spans="4:10" s="9" customFormat="1" ht="15">
      <c r="D15" s="26" t="s">
        <v>1</v>
      </c>
      <c r="E15" s="27"/>
      <c r="F15" s="28" t="s">
        <v>1</v>
      </c>
      <c r="G15" s="27"/>
      <c r="H15" s="26" t="s">
        <v>1</v>
      </c>
      <c r="I15" s="27"/>
      <c r="J15" s="28" t="s">
        <v>1</v>
      </c>
    </row>
    <row r="16" spans="4:10" ht="15">
      <c r="D16" s="32"/>
      <c r="E16" s="33"/>
      <c r="F16" s="32"/>
      <c r="G16" s="33"/>
      <c r="H16" s="33"/>
      <c r="I16" s="33"/>
      <c r="J16" s="32"/>
    </row>
    <row r="17" spans="2:10" ht="15">
      <c r="B17" s="4" t="s">
        <v>29</v>
      </c>
      <c r="D17" s="37">
        <f>+H17-'[3]income stat'!$H$17</f>
        <v>63306.36645</v>
      </c>
      <c r="E17" s="35"/>
      <c r="F17" s="36">
        <f>+J17-240164</f>
        <v>61763</v>
      </c>
      <c r="G17" s="35"/>
      <c r="H17" s="34">
        <f>+'[4]CONSOL-IS'!$U$9/1000</f>
        <v>314492.331</v>
      </c>
      <c r="I17" s="35"/>
      <c r="J17" s="36">
        <v>301927</v>
      </c>
    </row>
    <row r="18" spans="5:10" ht="15">
      <c r="E18" s="38"/>
      <c r="F18" s="39"/>
      <c r="G18" s="38"/>
      <c r="H18" s="37"/>
      <c r="I18" s="38"/>
      <c r="J18" s="39"/>
    </row>
    <row r="19" spans="2:10" ht="15">
      <c r="B19" s="4" t="s">
        <v>30</v>
      </c>
      <c r="D19" s="40">
        <f>+H19-'[3]income stat'!$H$19-1</f>
        <v>-62866.436460000026</v>
      </c>
      <c r="E19" s="38"/>
      <c r="F19" s="41">
        <f>+J19+226041</f>
        <v>-60288</v>
      </c>
      <c r="G19" s="38"/>
      <c r="H19" s="40">
        <f>+H25-H23-H17+1</f>
        <v>-296746.525</v>
      </c>
      <c r="I19" s="38"/>
      <c r="J19" s="41">
        <f>+J25-J23-J21-J17</f>
        <v>-286329</v>
      </c>
    </row>
    <row r="20" spans="4:10" ht="15">
      <c r="D20" s="40"/>
      <c r="E20" s="38"/>
      <c r="F20" s="41"/>
      <c r="G20" s="38"/>
      <c r="H20" s="40"/>
      <c r="I20" s="38"/>
      <c r="J20" s="41"/>
    </row>
    <row r="21" spans="2:10" ht="15">
      <c r="B21" s="4" t="s">
        <v>100</v>
      </c>
      <c r="D21" s="40">
        <v>0</v>
      </c>
      <c r="E21" s="38"/>
      <c r="F21" s="41">
        <v>0</v>
      </c>
      <c r="G21" s="38"/>
      <c r="H21" s="40">
        <v>0</v>
      </c>
      <c r="I21" s="38"/>
      <c r="J21" s="41">
        <v>-1211</v>
      </c>
    </row>
    <row r="22" spans="4:10" ht="15">
      <c r="D22" s="40"/>
      <c r="E22" s="38"/>
      <c r="F22" s="41"/>
      <c r="G22" s="38"/>
      <c r="H22" s="40"/>
      <c r="I22" s="38"/>
      <c r="J22" s="41"/>
    </row>
    <row r="23" spans="1:10" ht="15">
      <c r="A23" s="42"/>
      <c r="B23" s="4" t="s">
        <v>31</v>
      </c>
      <c r="D23" s="43">
        <f>+H23-'[3]income stat'!$H$23-1</f>
        <v>260.2739700000011</v>
      </c>
      <c r="E23" s="38"/>
      <c r="F23" s="44">
        <f>+J23-1495</f>
        <v>1436</v>
      </c>
      <c r="G23" s="38"/>
      <c r="H23" s="45">
        <f>+'[4]CONSOL-IS'!$U$49/1000+1</f>
        <v>2333.403</v>
      </c>
      <c r="I23" s="38"/>
      <c r="J23" s="44">
        <v>2931</v>
      </c>
    </row>
    <row r="24" spans="2:10" ht="15">
      <c r="B24" s="4" t="s">
        <v>32</v>
      </c>
      <c r="D24" s="37"/>
      <c r="F24" s="39"/>
      <c r="H24" s="16"/>
      <c r="J24" s="39"/>
    </row>
    <row r="25" spans="2:10" ht="15">
      <c r="B25" s="8" t="s">
        <v>33</v>
      </c>
      <c r="D25" s="37">
        <f>+H25-'[3]income stat'!$H$25-1</f>
        <v>700.203959999988</v>
      </c>
      <c r="F25" s="39">
        <f>SUM(F17:F23)</f>
        <v>2911</v>
      </c>
      <c r="H25" s="37">
        <f>(+'[4]CONSOL-IS'!$U$32+'[4]CONSOL-IS'!$U$29+'[4]CONSOL-IS'!$U$49)/1000</f>
        <v>20078.209</v>
      </c>
      <c r="J25" s="39">
        <v>17318</v>
      </c>
    </row>
    <row r="26" spans="4:10" ht="15">
      <c r="D26" s="37"/>
      <c r="F26" s="39"/>
      <c r="H26" s="16"/>
      <c r="J26" s="39"/>
    </row>
    <row r="27" spans="2:56" ht="15">
      <c r="B27" s="8" t="s">
        <v>34</v>
      </c>
      <c r="D27" s="37">
        <f>+H27-'[3]income stat'!$H$27</f>
        <v>-84.82364000000001</v>
      </c>
      <c r="E27" s="38"/>
      <c r="F27" s="39">
        <f>+J27+337</f>
        <v>-110</v>
      </c>
      <c r="G27" s="38"/>
      <c r="H27" s="34">
        <f>-'[4]CONSOL-IS'!$U$29/1000</f>
        <v>-489.77</v>
      </c>
      <c r="I27" s="38"/>
      <c r="J27" s="39">
        <v>-447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</row>
    <row r="28" spans="2:56" ht="15">
      <c r="B28" s="8"/>
      <c r="D28" s="37"/>
      <c r="E28" s="38"/>
      <c r="F28" s="39"/>
      <c r="G28" s="38"/>
      <c r="H28" s="34"/>
      <c r="I28" s="38"/>
      <c r="J28" s="39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</row>
    <row r="29" spans="2:56" ht="15">
      <c r="B29" s="14" t="s">
        <v>58</v>
      </c>
      <c r="D29" s="37">
        <f>+H29-'[3]income stat'!$H$29</f>
        <v>494.639093</v>
      </c>
      <c r="E29" s="38"/>
      <c r="F29" s="39">
        <f>+J29-91-284</f>
        <v>584</v>
      </c>
      <c r="G29" s="38"/>
      <c r="H29" s="34">
        <f>+'[4]CONSOL-IS'!$U$51/1000</f>
        <v>2427.479</v>
      </c>
      <c r="I29" s="38"/>
      <c r="J29" s="39">
        <v>959</v>
      </c>
      <c r="K29" s="46"/>
      <c r="L29" s="63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</row>
    <row r="30" spans="4:56" ht="15">
      <c r="D30" s="37"/>
      <c r="E30" s="38"/>
      <c r="F30" s="39"/>
      <c r="G30" s="38"/>
      <c r="H30" s="37"/>
      <c r="I30" s="38"/>
      <c r="J30" s="39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</row>
    <row r="31" spans="2:56" ht="15">
      <c r="B31" s="8" t="s">
        <v>56</v>
      </c>
      <c r="D31" s="47">
        <f>+H31-'[3]income stat'!$H$31</f>
        <v>131.59385500000002</v>
      </c>
      <c r="E31" s="38"/>
      <c r="F31" s="44">
        <f>+J31-4723</f>
        <v>214</v>
      </c>
      <c r="G31" s="38"/>
      <c r="H31" s="45">
        <f>+'[4]CONSOL-IS'!$U$53/1000</f>
        <v>319.413</v>
      </c>
      <c r="I31" s="38"/>
      <c r="J31" s="44">
        <v>4937</v>
      </c>
      <c r="K31" s="46"/>
      <c r="L31" s="63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</row>
    <row r="32" spans="4:56" ht="15">
      <c r="D32" s="37"/>
      <c r="E32" s="38"/>
      <c r="F32" s="39"/>
      <c r="G32" s="38"/>
      <c r="H32" s="37"/>
      <c r="I32" s="38"/>
      <c r="J32" s="39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</row>
    <row r="33" spans="2:56" ht="15">
      <c r="B33" s="7" t="s">
        <v>35</v>
      </c>
      <c r="D33" s="37">
        <f>SUM(D25:D31)</f>
        <v>1241.613267999988</v>
      </c>
      <c r="E33" s="38"/>
      <c r="F33" s="39">
        <f>+J33-19169+1</f>
        <v>3599</v>
      </c>
      <c r="G33" s="38"/>
      <c r="H33" s="37">
        <f>SUM(H25:H31)-1</f>
        <v>22334.331</v>
      </c>
      <c r="I33" s="38"/>
      <c r="J33" s="39">
        <f>SUM(J25:J31)</f>
        <v>22767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</row>
    <row r="34" spans="4:56" ht="15">
      <c r="D34" s="37"/>
      <c r="E34" s="38"/>
      <c r="F34" s="39"/>
      <c r="G34" s="38"/>
      <c r="H34" s="34"/>
      <c r="I34" s="38"/>
      <c r="J34" s="39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</row>
    <row r="35" spans="2:10" ht="15">
      <c r="B35" s="109" t="s">
        <v>65</v>
      </c>
      <c r="C35" s="19"/>
      <c r="D35" s="43">
        <f>+H35-'[3]income stat'!$H$35</f>
        <v>-41.17588000000069</v>
      </c>
      <c r="F35" s="44">
        <f>+J35+4338</f>
        <v>-1245</v>
      </c>
      <c r="H35" s="43">
        <f>+'[4]CONSOL-IS'!$U$68/1000</f>
        <v>-4343.956</v>
      </c>
      <c r="J35" s="44">
        <v>-5583</v>
      </c>
    </row>
    <row r="36" spans="4:10" ht="5.25" customHeight="1">
      <c r="D36" s="39">
        <f>+D32+D34</f>
        <v>0</v>
      </c>
      <c r="E36" s="38"/>
      <c r="F36" s="39"/>
      <c r="G36" s="38"/>
      <c r="H36" s="34"/>
      <c r="I36" s="38"/>
      <c r="J36" s="39"/>
    </row>
    <row r="37" spans="2:10" ht="15.75" thickBot="1">
      <c r="B37" s="7" t="s">
        <v>118</v>
      </c>
      <c r="D37" s="64">
        <f>+D33+D35+1</f>
        <v>1201.4373879999873</v>
      </c>
      <c r="E37" s="38"/>
      <c r="F37" s="65">
        <f>+F33+F35</f>
        <v>2354</v>
      </c>
      <c r="G37" s="38"/>
      <c r="H37" s="64">
        <f>+H33+H35</f>
        <v>17990.375</v>
      </c>
      <c r="I37" s="38"/>
      <c r="J37" s="65">
        <f>+J33+J35</f>
        <v>17184</v>
      </c>
    </row>
    <row r="38" spans="4:10" ht="15.75" thickTop="1">
      <c r="D38" s="37"/>
      <c r="E38" s="38"/>
      <c r="F38" s="39"/>
      <c r="G38" s="38"/>
      <c r="H38" s="34"/>
      <c r="I38" s="38"/>
      <c r="J38" s="39"/>
    </row>
    <row r="39" spans="2:10" ht="15">
      <c r="B39" s="4" t="s">
        <v>66</v>
      </c>
      <c r="D39" s="37"/>
      <c r="E39" s="38"/>
      <c r="F39" s="39"/>
      <c r="G39" s="38"/>
      <c r="H39" s="34"/>
      <c r="I39" s="38"/>
      <c r="J39" s="39"/>
    </row>
    <row r="40" spans="2:10" ht="15">
      <c r="B40" s="4" t="s">
        <v>67</v>
      </c>
      <c r="D40" s="37">
        <f>+D37-D41</f>
        <v>1181.9869783629879</v>
      </c>
      <c r="E40" s="38"/>
      <c r="F40" s="39">
        <f>+F43-F41</f>
        <v>2077</v>
      </c>
      <c r="G40" s="38"/>
      <c r="H40" s="37">
        <f>+H37-H41</f>
        <v>16903.031</v>
      </c>
      <c r="I40" s="38"/>
      <c r="J40" s="39">
        <f>+J43-J41</f>
        <v>16628</v>
      </c>
    </row>
    <row r="41" spans="2:10" ht="15">
      <c r="B41" s="8" t="s">
        <v>15</v>
      </c>
      <c r="D41" s="43">
        <f>+H41-'[3]income stat'!$H$41</f>
        <v>19.45040963699944</v>
      </c>
      <c r="E41" s="38"/>
      <c r="F41" s="44">
        <f>+J41-279</f>
        <v>277</v>
      </c>
      <c r="G41" s="38"/>
      <c r="H41" s="43">
        <f>-'[4]CONSOL-IS'!$U$72/1000</f>
        <v>1087.344</v>
      </c>
      <c r="I41" s="38"/>
      <c r="J41" s="44">
        <v>556</v>
      </c>
    </row>
    <row r="42" spans="2:10" ht="5.25" customHeight="1">
      <c r="B42" s="8"/>
      <c r="D42" s="37"/>
      <c r="E42" s="38"/>
      <c r="F42" s="39"/>
      <c r="G42" s="38"/>
      <c r="H42" s="37"/>
      <c r="I42" s="38"/>
      <c r="J42" s="39"/>
    </row>
    <row r="43" spans="1:10" ht="15.75" thickBot="1">
      <c r="A43" s="8"/>
      <c r="B43" s="8"/>
      <c r="D43" s="64">
        <f>SUM(D40:D42)</f>
        <v>1201.4373879999873</v>
      </c>
      <c r="E43" s="38"/>
      <c r="F43" s="65">
        <f>+F37</f>
        <v>2354</v>
      </c>
      <c r="G43" s="38"/>
      <c r="H43" s="64">
        <f>SUM(H40:H42)</f>
        <v>17990.375</v>
      </c>
      <c r="I43" s="38"/>
      <c r="J43" s="65">
        <f>+J37</f>
        <v>17184</v>
      </c>
    </row>
    <row r="44" spans="4:10" ht="15.75" thickTop="1">
      <c r="D44" s="37"/>
      <c r="E44" s="38"/>
      <c r="F44" s="39"/>
      <c r="G44" s="38"/>
      <c r="H44" s="37"/>
      <c r="I44" s="38"/>
      <c r="J44" s="39"/>
    </row>
    <row r="45" spans="2:10" ht="15">
      <c r="B45" s="7" t="s">
        <v>68</v>
      </c>
      <c r="D45" s="37"/>
      <c r="E45" s="38"/>
      <c r="F45" s="39"/>
      <c r="G45" s="38"/>
      <c r="H45" s="37"/>
      <c r="I45" s="38"/>
      <c r="J45" s="39" t="s">
        <v>36</v>
      </c>
    </row>
    <row r="46" spans="2:10" ht="15">
      <c r="B46" s="7" t="s">
        <v>69</v>
      </c>
      <c r="D46" s="37"/>
      <c r="E46" s="38"/>
      <c r="F46" s="39"/>
      <c r="G46" s="38"/>
      <c r="H46" s="37"/>
      <c r="I46" s="38"/>
      <c r="J46" s="39"/>
    </row>
    <row r="47" spans="2:10" ht="15.75" thickBot="1">
      <c r="B47" s="8" t="s">
        <v>70</v>
      </c>
      <c r="D47" s="48">
        <f>+'[4]Basic0307'!$C$172</f>
        <v>0.68</v>
      </c>
      <c r="E47" s="38"/>
      <c r="F47" s="49">
        <v>1.25</v>
      </c>
      <c r="G47" s="38"/>
      <c r="H47" s="48">
        <f>+'[4]Basic0307'!$C$108</f>
        <v>9.81</v>
      </c>
      <c r="I47" s="38"/>
      <c r="J47" s="49">
        <v>10.1</v>
      </c>
    </row>
    <row r="48" spans="2:10" ht="15.75" thickBot="1">
      <c r="B48" s="8" t="s">
        <v>71</v>
      </c>
      <c r="D48" s="50">
        <f>+'[4]Diluted0307'!$D$46</f>
        <v>0.67</v>
      </c>
      <c r="E48" s="38"/>
      <c r="F48" s="51">
        <v>1.23</v>
      </c>
      <c r="G48" s="38">
        <f>+'[1]Diluted0606'!$D$24</f>
        <v>2.8982685217080717</v>
      </c>
      <c r="H48" s="50">
        <f>+'[4]Diluted0307'!$D$24</f>
        <v>9.75</v>
      </c>
      <c r="I48" s="38"/>
      <c r="J48" s="51">
        <v>9.96</v>
      </c>
    </row>
    <row r="49" spans="2:10" ht="15">
      <c r="B49" s="14"/>
      <c r="D49" s="52"/>
      <c r="E49" s="38"/>
      <c r="F49" s="53"/>
      <c r="G49" s="38"/>
      <c r="H49" s="52"/>
      <c r="I49" s="38"/>
      <c r="J49" s="53"/>
    </row>
    <row r="50" spans="2:10" ht="15">
      <c r="B50" s="14"/>
      <c r="D50" s="52"/>
      <c r="E50" s="38"/>
      <c r="F50" s="53"/>
      <c r="G50" s="38"/>
      <c r="H50" s="52"/>
      <c r="I50" s="38"/>
      <c r="J50" s="53"/>
    </row>
    <row r="51" spans="2:10" ht="15">
      <c r="B51" s="7" t="s">
        <v>124</v>
      </c>
      <c r="D51" s="39"/>
      <c r="E51" s="38"/>
      <c r="F51" s="39"/>
      <c r="G51" s="38"/>
      <c r="H51" s="39"/>
      <c r="I51" s="38"/>
      <c r="J51" s="39"/>
    </row>
    <row r="52" spans="2:10" ht="15">
      <c r="B52" s="11" t="s">
        <v>17</v>
      </c>
      <c r="D52" s="39"/>
      <c r="E52" s="38"/>
      <c r="F52" s="39"/>
      <c r="G52" s="38"/>
      <c r="H52" s="39"/>
      <c r="I52" s="38"/>
      <c r="J52" s="39"/>
    </row>
    <row r="53" spans="4:10" ht="15">
      <c r="D53" s="39"/>
      <c r="E53" s="38"/>
      <c r="F53" s="39"/>
      <c r="G53" s="38"/>
      <c r="H53" s="39"/>
      <c r="I53" s="38"/>
      <c r="J53" s="39"/>
    </row>
    <row r="54" spans="4:10" ht="15">
      <c r="D54" s="39"/>
      <c r="E54" s="38"/>
      <c r="F54" s="39"/>
      <c r="G54" s="38"/>
      <c r="H54" s="38"/>
      <c r="I54" s="38"/>
      <c r="J54" s="39"/>
    </row>
    <row r="55" spans="4:10" ht="15">
      <c r="D55" s="39"/>
      <c r="E55" s="38"/>
      <c r="F55" s="39"/>
      <c r="G55" s="38"/>
      <c r="H55" s="39"/>
      <c r="I55" s="38"/>
      <c r="J55" s="39"/>
    </row>
    <row r="56" spans="4:10" ht="15">
      <c r="D56" s="39"/>
      <c r="E56" s="38"/>
      <c r="F56" s="39"/>
      <c r="G56" s="38"/>
      <c r="H56" s="39"/>
      <c r="I56" s="38"/>
      <c r="J56" s="39"/>
    </row>
    <row r="57" spans="4:10" ht="15">
      <c r="D57" s="39"/>
      <c r="E57" s="38"/>
      <c r="F57" s="39"/>
      <c r="G57" s="38"/>
      <c r="H57" s="39"/>
      <c r="I57" s="38"/>
      <c r="J57" s="39"/>
    </row>
  </sheetData>
  <printOptions/>
  <pageMargins left="0.81" right="0.41" top="1.3" bottom="0.5" header="0.25" footer="1.14"/>
  <pageSetup fitToHeight="1" fitToWidth="1" horizontalDpi="600" verticalDpi="600" orientation="portrait" paperSize="9" scale="78" r:id="rId1"/>
  <headerFooter alignWithMargins="0">
    <oddFooter>&amp;C&amp;"Times New Roman,Italic"&amp;8- Page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4" customWidth="1"/>
    <col min="2" max="2" width="50.421875" style="4" customWidth="1"/>
    <col min="3" max="3" width="5.7109375" style="4" customWidth="1"/>
    <col min="4" max="4" width="15.7109375" style="6" customWidth="1"/>
    <col min="5" max="5" width="1.421875" style="4" customWidth="1"/>
    <col min="6" max="6" width="15.7109375" style="6" customWidth="1"/>
    <col min="7" max="7" width="9.140625" style="4" customWidth="1"/>
    <col min="8" max="8" width="20.8515625" style="4" customWidth="1"/>
    <col min="9" max="16384" width="9.140625" style="4" customWidth="1"/>
  </cols>
  <sheetData>
    <row r="1" spans="1:6" ht="15">
      <c r="A1" s="54" t="s">
        <v>127</v>
      </c>
      <c r="B1" s="17"/>
      <c r="C1" s="17"/>
      <c r="D1" s="17"/>
      <c r="E1" s="17"/>
      <c r="F1" s="17"/>
    </row>
    <row r="2" spans="1:6" ht="15">
      <c r="A2" s="2"/>
      <c r="B2" s="2"/>
      <c r="C2" s="2"/>
      <c r="D2" s="2"/>
      <c r="E2" s="2"/>
      <c r="F2" s="2"/>
    </row>
    <row r="3" spans="1:6" ht="15">
      <c r="A3" s="59"/>
      <c r="B3" s="59"/>
      <c r="C3" s="59"/>
      <c r="D3" s="59"/>
      <c r="E3" s="59"/>
      <c r="F3" s="59"/>
    </row>
    <row r="4" ht="15">
      <c r="A4" s="7" t="str">
        <f>+'Bal sheet'!A8</f>
        <v>Fourth quarter interim report for the financial ended 31 March 2007</v>
      </c>
    </row>
    <row r="5" ht="15">
      <c r="A5" s="8" t="s">
        <v>110</v>
      </c>
    </row>
    <row r="6" ht="15">
      <c r="A6" s="7"/>
    </row>
    <row r="7" ht="15">
      <c r="A7" s="7" t="s">
        <v>44</v>
      </c>
    </row>
    <row r="8" ht="15">
      <c r="A8" s="7"/>
    </row>
    <row r="9" spans="4:6" s="9" customFormat="1" ht="15">
      <c r="D9" s="69" t="s">
        <v>114</v>
      </c>
      <c r="E9" s="59"/>
      <c r="F9" s="69" t="s">
        <v>113</v>
      </c>
    </row>
    <row r="10" spans="4:6" s="9" customFormat="1" ht="15">
      <c r="D10" s="68" t="s">
        <v>1</v>
      </c>
      <c r="E10" s="66"/>
      <c r="F10" s="68" t="s">
        <v>1</v>
      </c>
    </row>
    <row r="11" ht="15">
      <c r="F11" s="28" t="s">
        <v>125</v>
      </c>
    </row>
    <row r="12" ht="15">
      <c r="B12" s="11" t="s">
        <v>45</v>
      </c>
    </row>
    <row r="13" ht="3.75" customHeight="1"/>
    <row r="14" spans="2:8" ht="15">
      <c r="B14" s="4" t="s">
        <v>35</v>
      </c>
      <c r="D14" s="16">
        <f>+'[4]CONSOL-CF'!$Z$10/1000-1</f>
        <v>22334.33</v>
      </c>
      <c r="F14" s="18">
        <v>22767</v>
      </c>
      <c r="H14" s="77"/>
    </row>
    <row r="15" spans="2:8" ht="15">
      <c r="B15" s="4" t="s">
        <v>46</v>
      </c>
      <c r="D15" s="43">
        <f>(+'[4]CONSOL-CF'!$Z$14+'[4]CONSOL-CF'!$Z$18+'[4]CONSOL-CF'!$Z$19+'[4]CONSOL-CF'!$Z$21+'[4]CONSOL-CF'!$Z$22+'[4]CONSOL-CF'!$Z$23+'[4]CONSOL-CF'!$Z$24+'[4]CONSOL-CF'!$Z$25)/1000</f>
        <v>1196.436</v>
      </c>
      <c r="F15" s="15">
        <v>2049</v>
      </c>
      <c r="H15" s="77"/>
    </row>
    <row r="16" spans="2:8" ht="15">
      <c r="B16" s="14" t="s">
        <v>47</v>
      </c>
      <c r="D16" s="5">
        <f>SUM(D14:D15)-1</f>
        <v>23529.766000000003</v>
      </c>
      <c r="F16" s="6">
        <v>24816</v>
      </c>
      <c r="H16" s="77"/>
    </row>
    <row r="17" spans="2:8" ht="15">
      <c r="B17" s="14" t="s">
        <v>48</v>
      </c>
      <c r="D17" s="12">
        <f>+D18-D16</f>
        <v>2474.270999999997</v>
      </c>
      <c r="F17" s="15">
        <f>4121+333</f>
        <v>4454</v>
      </c>
      <c r="H17" s="77"/>
    </row>
    <row r="18" spans="2:8" ht="15">
      <c r="B18" s="8" t="s">
        <v>107</v>
      </c>
      <c r="D18" s="5">
        <f>+'[4]CONSOL-CF'!$Z$43/1000</f>
        <v>26004.037</v>
      </c>
      <c r="F18" s="6">
        <f>SUM(F16:F17)</f>
        <v>29270</v>
      </c>
      <c r="H18" s="77"/>
    </row>
    <row r="19" spans="2:8" ht="15">
      <c r="B19" s="8" t="s">
        <v>108</v>
      </c>
      <c r="D19" s="5">
        <f>+'[4]CONSOL-CF'!$Z$45/1000</f>
        <v>-460.412</v>
      </c>
      <c r="F19" s="6">
        <v>-394</v>
      </c>
      <c r="H19" s="77"/>
    </row>
    <row r="20" spans="2:8" ht="15">
      <c r="B20" s="8" t="s">
        <v>109</v>
      </c>
      <c r="D20" s="12">
        <f>(+'[4]CONSOL-CF'!$Z$46+'[4]CONSOL-CF'!$Z$47)/1000+1</f>
        <v>-4803.915</v>
      </c>
      <c r="F20" s="15">
        <v>-5289</v>
      </c>
      <c r="H20" s="77"/>
    </row>
    <row r="21" spans="2:8" ht="15.75" thickBot="1">
      <c r="B21" s="8" t="s">
        <v>104</v>
      </c>
      <c r="D21" s="56">
        <f>SUM(D18:D20)</f>
        <v>20739.71</v>
      </c>
      <c r="F21" s="57">
        <f>SUM(F18:F20)</f>
        <v>23587</v>
      </c>
      <c r="H21" s="77"/>
    </row>
    <row r="22" spans="4:8" ht="12.75" customHeight="1">
      <c r="D22" s="5"/>
      <c r="H22" s="77"/>
    </row>
    <row r="23" spans="2:8" ht="15">
      <c r="B23" s="11" t="s">
        <v>49</v>
      </c>
      <c r="D23" s="5"/>
      <c r="H23" s="77"/>
    </row>
    <row r="24" spans="4:8" ht="4.5" customHeight="1">
      <c r="D24" s="5"/>
      <c r="H24" s="77"/>
    </row>
    <row r="25" spans="2:8" ht="15">
      <c r="B25" s="4" t="s">
        <v>126</v>
      </c>
      <c r="D25" s="13">
        <f>+'[4]CONSOL-CF'!$Z$54/1000</f>
        <v>584.088</v>
      </c>
      <c r="F25" s="3">
        <v>399</v>
      </c>
      <c r="H25" s="77"/>
    </row>
    <row r="26" spans="2:8" ht="15">
      <c r="B26" s="4" t="s">
        <v>101</v>
      </c>
      <c r="D26" s="13">
        <f>(+'[4]CONSOL-CF'!$Z$55+'[4]CONSOL-CF'!$Z$56+'[4]CONSOL-CF'!$Z$57)/1000</f>
        <v>3926.013</v>
      </c>
      <c r="F26" s="3">
        <f>4000+125</f>
        <v>4125</v>
      </c>
      <c r="H26" s="77"/>
    </row>
    <row r="27" spans="2:8" ht="15">
      <c r="B27" s="4" t="s">
        <v>2</v>
      </c>
      <c r="D27" s="13">
        <f>(+'[4]CONSOL-CF'!$Z$59+'[4]CONSOL-CF'!$Z$61)/1000+1</f>
        <v>-4226.523</v>
      </c>
      <c r="F27" s="3">
        <v>-2369</v>
      </c>
      <c r="H27" s="77"/>
    </row>
    <row r="28" spans="2:8" ht="15">
      <c r="B28" s="4" t="s">
        <v>102</v>
      </c>
      <c r="D28" s="12">
        <v>0</v>
      </c>
      <c r="F28" s="15">
        <v>2360</v>
      </c>
      <c r="H28" s="77"/>
    </row>
    <row r="29" spans="2:8" ht="15.75" thickBot="1">
      <c r="B29" s="8" t="s">
        <v>106</v>
      </c>
      <c r="D29" s="60">
        <f>SUM(D25:D27)-1</f>
        <v>282.5779999999995</v>
      </c>
      <c r="F29" s="61">
        <f>SUM(F25:F28)</f>
        <v>4515</v>
      </c>
      <c r="H29" s="77"/>
    </row>
    <row r="30" spans="4:8" ht="12.75" customHeight="1">
      <c r="D30" s="5"/>
      <c r="H30" s="77"/>
    </row>
    <row r="31" spans="2:8" ht="15">
      <c r="B31" s="11" t="s">
        <v>50</v>
      </c>
      <c r="D31" s="5"/>
      <c r="H31" s="77"/>
    </row>
    <row r="32" spans="2:8" ht="4.5" customHeight="1">
      <c r="B32" s="11"/>
      <c r="D32" s="13"/>
      <c r="H32" s="77"/>
    </row>
    <row r="33" spans="2:8" ht="13.5" customHeight="1">
      <c r="B33" s="14" t="s">
        <v>51</v>
      </c>
      <c r="D33" s="13">
        <f>(+'[4]CONSOL-CF'!$Z$72+'[4]CONSOL-CF'!$Z$89)/1000</f>
        <v>-2929.709</v>
      </c>
      <c r="F33" s="3">
        <v>-1612</v>
      </c>
      <c r="H33" s="77"/>
    </row>
    <row r="34" spans="2:8" ht="15">
      <c r="B34" s="14" t="s">
        <v>54</v>
      </c>
      <c r="D34" s="13">
        <f>+'[4]CONSOL-CF'!$Z$76/1000</f>
        <v>5369.482</v>
      </c>
      <c r="F34" s="3">
        <v>3224</v>
      </c>
      <c r="H34" s="77"/>
    </row>
    <row r="35" spans="2:8" ht="15">
      <c r="B35" s="8" t="s">
        <v>52</v>
      </c>
      <c r="D35" s="13">
        <f>+'[4]CONSOL-CF'!$Z$84/1000</f>
        <v>-19318.535</v>
      </c>
      <c r="F35" s="3">
        <v>-12293</v>
      </c>
      <c r="H35" s="77"/>
    </row>
    <row r="36" spans="2:8" ht="15">
      <c r="B36" s="14" t="s">
        <v>103</v>
      </c>
      <c r="D36" s="12">
        <v>0</v>
      </c>
      <c r="F36" s="15">
        <v>-1350</v>
      </c>
      <c r="H36" s="77"/>
    </row>
    <row r="37" spans="2:8" ht="15.75" thickBot="1">
      <c r="B37" s="8" t="s">
        <v>105</v>
      </c>
      <c r="D37" s="60">
        <f>SUM(D33:D35)-1</f>
        <v>-16879.762</v>
      </c>
      <c r="F37" s="61">
        <f>SUM(F33:F36)</f>
        <v>-12031</v>
      </c>
      <c r="H37" s="77"/>
    </row>
    <row r="38" spans="4:8" ht="12.75" customHeight="1">
      <c r="D38" s="5"/>
      <c r="H38" s="77"/>
    </row>
    <row r="39" spans="2:8" ht="15">
      <c r="B39" s="8" t="s">
        <v>119</v>
      </c>
      <c r="D39" s="5">
        <f>+D21+D29+D37</f>
        <v>4142.526000000002</v>
      </c>
      <c r="F39" s="6">
        <f>+F21+F29+F37</f>
        <v>16071</v>
      </c>
      <c r="H39" s="77"/>
    </row>
    <row r="40" spans="4:8" ht="4.5" customHeight="1">
      <c r="D40" s="5"/>
      <c r="H40" s="77"/>
    </row>
    <row r="41" spans="2:8" ht="15">
      <c r="B41" s="8" t="s">
        <v>120</v>
      </c>
      <c r="D41" s="5">
        <f>+'[4]CONSOL-CF'!$Z$100/1000-1</f>
        <v>41047.725</v>
      </c>
      <c r="F41" s="6">
        <v>24977</v>
      </c>
      <c r="H41" s="77"/>
    </row>
    <row r="42" spans="4:8" ht="4.5" customHeight="1">
      <c r="D42" s="5"/>
      <c r="H42" s="77"/>
    </row>
    <row r="43" spans="2:8" ht="15.75" thickBot="1">
      <c r="B43" s="8" t="s">
        <v>121</v>
      </c>
      <c r="D43" s="56">
        <f>+D39+D41+1</f>
        <v>45191.251000000004</v>
      </c>
      <c r="F43" s="57">
        <f>+F39+F41</f>
        <v>41048</v>
      </c>
      <c r="H43" s="77"/>
    </row>
    <row r="44" ht="15">
      <c r="H44" s="77"/>
    </row>
    <row r="45" spans="2:8" ht="15">
      <c r="B45" s="7" t="s">
        <v>124</v>
      </c>
      <c r="H45" s="77"/>
    </row>
    <row r="46" spans="2:8" ht="15">
      <c r="B46" s="11" t="s">
        <v>17</v>
      </c>
      <c r="D46" s="62"/>
      <c r="H46" s="77"/>
    </row>
    <row r="47" ht="15">
      <c r="H47" s="77"/>
    </row>
    <row r="48" ht="15">
      <c r="H48" s="77"/>
    </row>
    <row r="49" ht="15">
      <c r="H49" s="77"/>
    </row>
  </sheetData>
  <printOptions/>
  <pageMargins left="0.91" right="0.5" top="1.02" bottom="1.18" header="0.25" footer="1.21"/>
  <pageSetup horizontalDpi="600" verticalDpi="600" orientation="portrait" paperSize="9" scale="90" r:id="rId1"/>
  <headerFooter alignWithMargins="0">
    <oddFooter>&amp;C&amp;"Times New Roman,Italic"&amp;8- Page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="75" zoomScaleNormal="75" workbookViewId="0" topLeftCell="A1">
      <selection activeCell="B15" sqref="B15"/>
    </sheetView>
  </sheetViews>
  <sheetFormatPr defaultColWidth="9.140625" defaultRowHeight="12.75"/>
  <cols>
    <col min="1" max="1" width="2.421875" style="4" customWidth="1"/>
    <col min="2" max="2" width="35.57421875" style="4" customWidth="1"/>
    <col min="3" max="3" width="0.71875" style="4" customWidth="1"/>
    <col min="4" max="4" width="13.8515625" style="4" customWidth="1"/>
    <col min="5" max="5" width="0.5625" style="4" customWidth="1"/>
    <col min="6" max="6" width="14.00390625" style="4" customWidth="1"/>
    <col min="7" max="7" width="0.71875" style="4" customWidth="1"/>
    <col min="8" max="8" width="13.8515625" style="4" customWidth="1"/>
    <col min="9" max="9" width="0.85546875" style="4" customWidth="1"/>
    <col min="10" max="10" width="13.8515625" style="4" customWidth="1"/>
    <col min="11" max="11" width="0.85546875" style="4" customWidth="1"/>
    <col min="12" max="12" width="13.8515625" style="4" customWidth="1"/>
    <col min="13" max="13" width="0.71875" style="4" customWidth="1"/>
    <col min="14" max="14" width="13.8515625" style="6" customWidth="1"/>
    <col min="15" max="15" width="0.71875" style="4" customWidth="1"/>
    <col min="16" max="16" width="13.8515625" style="6" customWidth="1"/>
    <col min="17" max="16384" width="9.140625" style="4" customWidth="1"/>
  </cols>
  <sheetData>
    <row r="1" spans="1:12" ht="15">
      <c r="A1" s="54" t="s">
        <v>127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5">
      <c r="A3" s="7"/>
    </row>
    <row r="4" ht="15">
      <c r="A4" s="7" t="str">
        <f>+'Bal sheet'!A8</f>
        <v>Fourth quarter interim report for the financial ended 31 March 2007</v>
      </c>
    </row>
    <row r="5" ht="15">
      <c r="A5" s="8" t="s">
        <v>110</v>
      </c>
    </row>
    <row r="7" ht="15">
      <c r="A7" s="11" t="s">
        <v>37</v>
      </c>
    </row>
    <row r="9" spans="4:12" ht="15">
      <c r="D9" s="110" t="s">
        <v>80</v>
      </c>
      <c r="E9" s="111"/>
      <c r="F9" s="111"/>
      <c r="G9" s="111"/>
      <c r="H9" s="111"/>
      <c r="I9" s="111"/>
      <c r="J9" s="111"/>
      <c r="K9" s="111"/>
      <c r="L9" s="111"/>
    </row>
    <row r="10" spans="5:12" ht="15">
      <c r="E10" s="59"/>
      <c r="F10" s="111" t="s">
        <v>74</v>
      </c>
      <c r="G10" s="111"/>
      <c r="H10" s="111"/>
      <c r="I10" s="59"/>
      <c r="J10" s="4" t="s">
        <v>73</v>
      </c>
      <c r="K10" s="59"/>
      <c r="L10" s="59"/>
    </row>
    <row r="12" spans="4:16" s="9" customFormat="1" ht="15">
      <c r="D12" s="67" t="s">
        <v>38</v>
      </c>
      <c r="E12" s="10"/>
      <c r="F12" s="66" t="s">
        <v>38</v>
      </c>
      <c r="G12" s="10"/>
      <c r="H12" s="66" t="s">
        <v>81</v>
      </c>
      <c r="I12" s="10"/>
      <c r="J12" s="66" t="s">
        <v>39</v>
      </c>
      <c r="K12" s="10"/>
      <c r="L12" s="59"/>
      <c r="N12" s="68" t="s">
        <v>72</v>
      </c>
      <c r="P12" s="68" t="s">
        <v>43</v>
      </c>
    </row>
    <row r="13" spans="4:16" s="9" customFormat="1" ht="15">
      <c r="D13" s="66" t="s">
        <v>40</v>
      </c>
      <c r="E13" s="10"/>
      <c r="F13" s="66" t="s">
        <v>41</v>
      </c>
      <c r="G13" s="10"/>
      <c r="H13" s="66" t="s">
        <v>82</v>
      </c>
      <c r="I13" s="10"/>
      <c r="J13" s="66" t="s">
        <v>42</v>
      </c>
      <c r="K13" s="10"/>
      <c r="L13" s="66" t="s">
        <v>43</v>
      </c>
      <c r="N13" s="69" t="s">
        <v>84</v>
      </c>
      <c r="P13" s="68" t="s">
        <v>75</v>
      </c>
    </row>
    <row r="14" spans="4:16" s="9" customFormat="1" ht="15">
      <c r="D14" s="67" t="s">
        <v>1</v>
      </c>
      <c r="E14" s="10"/>
      <c r="F14" s="67" t="s">
        <v>1</v>
      </c>
      <c r="G14" s="55"/>
      <c r="H14" s="66" t="s">
        <v>1</v>
      </c>
      <c r="I14" s="10"/>
      <c r="J14" s="67" t="s">
        <v>1</v>
      </c>
      <c r="K14" s="10"/>
      <c r="L14" s="67" t="s">
        <v>1</v>
      </c>
      <c r="N14" s="69" t="s">
        <v>1</v>
      </c>
      <c r="P14" s="69" t="s">
        <v>1</v>
      </c>
    </row>
    <row r="16" spans="2:20" ht="15">
      <c r="B16" s="7" t="s">
        <v>76</v>
      </c>
      <c r="D16" s="13">
        <v>83857</v>
      </c>
      <c r="E16" s="13"/>
      <c r="F16" s="13">
        <v>6136</v>
      </c>
      <c r="G16" s="13">
        <f>G41</f>
        <v>0</v>
      </c>
      <c r="H16" s="13">
        <v>741</v>
      </c>
      <c r="I16" s="13">
        <f>I41</f>
        <v>0</v>
      </c>
      <c r="J16" s="13">
        <f>48591-76</f>
        <v>48515</v>
      </c>
      <c r="K16" s="13">
        <f>K41</f>
        <v>0</v>
      </c>
      <c r="L16" s="13">
        <f>SUM(D16:K16)</f>
        <v>139249</v>
      </c>
      <c r="M16" s="46"/>
      <c r="N16" s="13">
        <v>3904</v>
      </c>
      <c r="O16" s="46"/>
      <c r="P16" s="13">
        <f>SUM(L16:N16)</f>
        <v>143153</v>
      </c>
      <c r="Q16" s="46"/>
      <c r="R16" s="46"/>
      <c r="S16" s="46"/>
      <c r="T16" s="46"/>
    </row>
    <row r="17" spans="2:20" ht="15">
      <c r="B17" s="7"/>
      <c r="D17" s="13"/>
      <c r="E17" s="13"/>
      <c r="F17" s="13"/>
      <c r="G17" s="13"/>
      <c r="H17" s="13"/>
      <c r="I17" s="13"/>
      <c r="J17" s="13"/>
      <c r="K17" s="13"/>
      <c r="L17" s="13"/>
      <c r="M17" s="46"/>
      <c r="N17" s="13"/>
      <c r="O17" s="46"/>
      <c r="P17" s="13"/>
      <c r="Q17" s="46"/>
      <c r="R17" s="46"/>
      <c r="S17" s="46"/>
      <c r="T17" s="46"/>
    </row>
    <row r="18" spans="2:17" ht="15">
      <c r="B18" s="8" t="s">
        <v>83</v>
      </c>
      <c r="D18" s="13">
        <v>0</v>
      </c>
      <c r="E18" s="13"/>
      <c r="F18" s="13">
        <v>0</v>
      </c>
      <c r="G18" s="13"/>
      <c r="H18" s="13">
        <v>-741</v>
      </c>
      <c r="I18" s="13"/>
      <c r="J18" s="13">
        <v>867</v>
      </c>
      <c r="K18" s="13"/>
      <c r="L18" s="13">
        <f>SUM(D18:J18)</f>
        <v>126</v>
      </c>
      <c r="M18" s="46"/>
      <c r="N18" s="13">
        <v>0</v>
      </c>
      <c r="O18" s="46"/>
      <c r="P18" s="13">
        <f>+L18+N18</f>
        <v>126</v>
      </c>
      <c r="Q18" s="46"/>
    </row>
    <row r="19" spans="4:12" ht="15">
      <c r="D19" s="5"/>
      <c r="E19" s="5"/>
      <c r="F19" s="5"/>
      <c r="G19" s="5"/>
      <c r="H19" s="5"/>
      <c r="I19" s="5"/>
      <c r="J19" s="5"/>
      <c r="K19" s="5"/>
      <c r="L19" s="5"/>
    </row>
    <row r="20" spans="2:16" ht="15">
      <c r="B20" s="8" t="s">
        <v>122</v>
      </c>
      <c r="D20" s="5">
        <v>0</v>
      </c>
      <c r="E20" s="5"/>
      <c r="F20" s="5">
        <v>0</v>
      </c>
      <c r="G20" s="5"/>
      <c r="H20" s="5">
        <v>0</v>
      </c>
      <c r="I20" s="5"/>
      <c r="J20" s="5">
        <v>-13884</v>
      </c>
      <c r="K20" s="5"/>
      <c r="L20" s="5">
        <f>+J20</f>
        <v>-13884</v>
      </c>
      <c r="N20" s="6">
        <v>0</v>
      </c>
      <c r="P20" s="5">
        <f>+L20+N20</f>
        <v>-13884</v>
      </c>
    </row>
    <row r="21" spans="4:12" ht="15">
      <c r="D21" s="5"/>
      <c r="E21" s="5"/>
      <c r="F21" s="5"/>
      <c r="G21" s="5"/>
      <c r="H21" s="5"/>
      <c r="I21" s="5"/>
      <c r="J21" s="5"/>
      <c r="K21" s="5"/>
      <c r="L21" s="5"/>
    </row>
    <row r="22" spans="2:18" ht="15">
      <c r="B22" s="8" t="s">
        <v>117</v>
      </c>
      <c r="D22" s="13">
        <v>0</v>
      </c>
      <c r="E22" s="13"/>
      <c r="F22" s="13">
        <v>0</v>
      </c>
      <c r="G22" s="13"/>
      <c r="H22" s="13">
        <v>0</v>
      </c>
      <c r="I22" s="13"/>
      <c r="J22" s="37">
        <f>+'income stat'!H40</f>
        <v>16903.031</v>
      </c>
      <c r="K22" s="13"/>
      <c r="L22" s="13">
        <f>SUM(D22:K22)</f>
        <v>16903.031</v>
      </c>
      <c r="M22" s="46"/>
      <c r="N22" s="13">
        <f>+'income stat'!H41</f>
        <v>1087.344</v>
      </c>
      <c r="O22" s="46"/>
      <c r="P22" s="13">
        <f>+L22+N22</f>
        <v>17990.375</v>
      </c>
      <c r="Q22" s="46"/>
      <c r="R22" s="46"/>
    </row>
    <row r="23" spans="2:18" ht="15" hidden="1">
      <c r="B23" s="14" t="s">
        <v>77</v>
      </c>
      <c r="D23" s="13"/>
      <c r="E23" s="13"/>
      <c r="F23" s="13"/>
      <c r="G23" s="13"/>
      <c r="H23" s="13"/>
      <c r="I23" s="13"/>
      <c r="J23" s="37"/>
      <c r="K23" s="13"/>
      <c r="L23" s="13"/>
      <c r="M23" s="46"/>
      <c r="N23" s="3"/>
      <c r="O23" s="46"/>
      <c r="P23" s="3"/>
      <c r="Q23" s="46"/>
      <c r="R23" s="46"/>
    </row>
    <row r="24" spans="2:18" ht="15" hidden="1">
      <c r="B24" s="14" t="s">
        <v>78</v>
      </c>
      <c r="D24" s="13" t="e">
        <f>+#REF!+D22</f>
        <v>#REF!</v>
      </c>
      <c r="E24" s="13"/>
      <c r="F24" s="13" t="e">
        <f>+#REF!+F22</f>
        <v>#REF!</v>
      </c>
      <c r="G24" s="13"/>
      <c r="H24" s="13" t="e">
        <f>+#REF!+H22</f>
        <v>#REF!</v>
      </c>
      <c r="I24" s="13"/>
      <c r="J24" s="13">
        <v>0</v>
      </c>
      <c r="K24" s="13"/>
      <c r="L24" s="13">
        <v>0</v>
      </c>
      <c r="M24" s="46"/>
      <c r="N24" s="13"/>
      <c r="O24" s="46"/>
      <c r="P24" s="13"/>
      <c r="Q24" s="46"/>
      <c r="R24" s="46"/>
    </row>
    <row r="25" spans="2:18" ht="15">
      <c r="B25" s="8"/>
      <c r="D25" s="13"/>
      <c r="E25" s="13"/>
      <c r="F25" s="13"/>
      <c r="G25" s="13"/>
      <c r="H25" s="13"/>
      <c r="I25" s="13"/>
      <c r="J25" s="13"/>
      <c r="K25" s="13"/>
      <c r="L25" s="13"/>
      <c r="M25" s="46"/>
      <c r="N25" s="3"/>
      <c r="O25" s="46"/>
      <c r="P25" s="3"/>
      <c r="Q25" s="46"/>
      <c r="R25" s="46"/>
    </row>
    <row r="26" spans="2:16" ht="15">
      <c r="B26" s="14" t="s">
        <v>55</v>
      </c>
      <c r="D26" s="5">
        <f>+D28-D16</f>
        <v>4334.800000000003</v>
      </c>
      <c r="E26" s="5"/>
      <c r="F26" s="5">
        <f>+F28-F16</f>
        <v>1034.3909999999996</v>
      </c>
      <c r="G26" s="5"/>
      <c r="H26" s="5">
        <v>0</v>
      </c>
      <c r="I26" s="5"/>
      <c r="J26" s="5">
        <v>0</v>
      </c>
      <c r="K26" s="5"/>
      <c r="L26" s="5">
        <f>SUM(D26:K26)</f>
        <v>5369.1910000000025</v>
      </c>
      <c r="N26" s="6">
        <v>0</v>
      </c>
      <c r="P26" s="5">
        <f>+L26+N26</f>
        <v>5369.1910000000025</v>
      </c>
    </row>
    <row r="27" spans="2:16" ht="15">
      <c r="B27" s="8"/>
      <c r="D27" s="5"/>
      <c r="E27" s="5"/>
      <c r="F27" s="5"/>
      <c r="G27" s="5"/>
      <c r="H27" s="5"/>
      <c r="I27" s="5"/>
      <c r="J27" s="5"/>
      <c r="K27" s="5"/>
      <c r="L27" s="5"/>
      <c r="M27" s="70"/>
      <c r="N27" s="3"/>
      <c r="O27" s="46"/>
      <c r="P27" s="3"/>
    </row>
    <row r="28" spans="2:16" ht="15.75" thickBot="1">
      <c r="B28" s="7" t="s">
        <v>116</v>
      </c>
      <c r="D28" s="56">
        <f>+'Bal sheet'!D45</f>
        <v>88191.8</v>
      </c>
      <c r="E28" s="56">
        <f>SUM(E16:E27)</f>
        <v>0</v>
      </c>
      <c r="F28" s="56">
        <f>+'Bal sheet'!D49</f>
        <v>7170.391</v>
      </c>
      <c r="G28" s="56">
        <f>SUM(G16:G27)</f>
        <v>0</v>
      </c>
      <c r="H28" s="56">
        <f>+H16+H18</f>
        <v>0</v>
      </c>
      <c r="I28" s="56">
        <f>SUM(I16:I27)</f>
        <v>0</v>
      </c>
      <c r="J28" s="56">
        <f>SUM(J16:J27)</f>
        <v>52401.031</v>
      </c>
      <c r="K28" s="56">
        <f>SUM(K16:K27)</f>
        <v>0</v>
      </c>
      <c r="L28" s="56">
        <f>SUM(L16:L27)</f>
        <v>147763.22199999998</v>
      </c>
      <c r="M28" s="71"/>
      <c r="N28" s="56">
        <f>SUM(N16:N27)</f>
        <v>4991.344</v>
      </c>
      <c r="O28" s="71"/>
      <c r="P28" s="56">
        <f>SUM(P16:P27)-1</f>
        <v>152753.566</v>
      </c>
    </row>
    <row r="29" spans="4:12" ht="15">
      <c r="D29" s="6"/>
      <c r="E29" s="6"/>
      <c r="F29" s="6"/>
      <c r="G29" s="6"/>
      <c r="H29" s="6"/>
      <c r="I29" s="6"/>
      <c r="J29" s="6"/>
      <c r="K29" s="6"/>
      <c r="L29" s="6"/>
    </row>
    <row r="30" spans="2:12" ht="15">
      <c r="B30" s="7"/>
      <c r="D30" s="6"/>
      <c r="E30" s="6"/>
      <c r="F30" s="6"/>
      <c r="G30" s="6"/>
      <c r="H30" s="6"/>
      <c r="I30" s="6"/>
      <c r="J30" s="6"/>
      <c r="K30" s="6"/>
      <c r="L30" s="6"/>
    </row>
    <row r="31" spans="2:16" ht="15">
      <c r="B31" s="7" t="s">
        <v>79</v>
      </c>
      <c r="D31" s="6">
        <v>81264</v>
      </c>
      <c r="E31" s="6">
        <f>E63</f>
        <v>0</v>
      </c>
      <c r="F31" s="6">
        <v>5505</v>
      </c>
      <c r="G31" s="6">
        <f>G63</f>
        <v>0</v>
      </c>
      <c r="H31" s="6">
        <v>783</v>
      </c>
      <c r="I31" s="6">
        <f>I63</f>
        <v>0</v>
      </c>
      <c r="J31" s="6">
        <v>43941</v>
      </c>
      <c r="K31" s="6">
        <f>K63</f>
        <v>0</v>
      </c>
      <c r="L31" s="6">
        <f>SUM(D31:J31)</f>
        <v>131493</v>
      </c>
      <c r="N31" s="6">
        <v>4698</v>
      </c>
      <c r="P31" s="6">
        <f>+L31+N31</f>
        <v>136191</v>
      </c>
    </row>
    <row r="32" spans="4:12" ht="15" customHeight="1">
      <c r="D32" s="6"/>
      <c r="E32" s="6"/>
      <c r="F32" s="6"/>
      <c r="G32" s="6"/>
      <c r="H32" s="6"/>
      <c r="I32" s="6"/>
      <c r="J32" s="6"/>
      <c r="K32" s="6"/>
      <c r="L32" s="6"/>
    </row>
    <row r="33" spans="2:16" ht="15" customHeight="1">
      <c r="B33" s="8" t="s">
        <v>122</v>
      </c>
      <c r="D33" s="6">
        <v>0</v>
      </c>
      <c r="E33" s="6"/>
      <c r="F33" s="6">
        <v>0</v>
      </c>
      <c r="G33" s="6"/>
      <c r="H33" s="6">
        <v>0</v>
      </c>
      <c r="I33" s="6"/>
      <c r="J33" s="6">
        <f>-6620-5434</f>
        <v>-12054</v>
      </c>
      <c r="K33" s="6"/>
      <c r="L33" s="6">
        <f>SUM(D33:J33)</f>
        <v>-12054</v>
      </c>
      <c r="N33" s="6">
        <v>-1350</v>
      </c>
      <c r="P33" s="6">
        <f>+L33+N33</f>
        <v>-13404</v>
      </c>
    </row>
    <row r="34" spans="4:12" ht="15" customHeight="1">
      <c r="D34" s="6"/>
      <c r="E34" s="6"/>
      <c r="F34" s="6"/>
      <c r="G34" s="6"/>
      <c r="H34" s="6"/>
      <c r="I34" s="6"/>
      <c r="J34" s="6"/>
      <c r="K34" s="6"/>
      <c r="L34" s="6"/>
    </row>
    <row r="35" spans="2:16" ht="15" customHeight="1">
      <c r="B35" s="8" t="s">
        <v>85</v>
      </c>
      <c r="D35" s="6">
        <v>0</v>
      </c>
      <c r="E35" s="6"/>
      <c r="F35" s="6">
        <v>0</v>
      </c>
      <c r="G35" s="6"/>
      <c r="H35" s="6">
        <v>-42</v>
      </c>
      <c r="I35" s="6"/>
      <c r="J35" s="6">
        <v>0</v>
      </c>
      <c r="K35" s="6"/>
      <c r="L35" s="6">
        <f>SUM(D35:J35)</f>
        <v>-42</v>
      </c>
      <c r="N35" s="6">
        <v>0</v>
      </c>
      <c r="P35" s="6">
        <f>+L35+N35</f>
        <v>-42</v>
      </c>
    </row>
    <row r="36" spans="2:12" ht="15" customHeight="1">
      <c r="B36" s="8"/>
      <c r="D36" s="6"/>
      <c r="E36" s="6"/>
      <c r="F36" s="6"/>
      <c r="G36" s="6"/>
      <c r="H36" s="6"/>
      <c r="I36" s="6"/>
      <c r="J36" s="6"/>
      <c r="K36" s="6"/>
      <c r="L36" s="6"/>
    </row>
    <row r="37" spans="2:17" ht="15">
      <c r="B37" s="8" t="s">
        <v>117</v>
      </c>
      <c r="D37" s="3">
        <v>0</v>
      </c>
      <c r="E37" s="3"/>
      <c r="F37" s="73">
        <v>0</v>
      </c>
      <c r="G37" s="3"/>
      <c r="H37" s="3">
        <v>0</v>
      </c>
      <c r="I37" s="3"/>
      <c r="J37" s="3">
        <f>+'income stat'!J40</f>
        <v>16628</v>
      </c>
      <c r="K37" s="3"/>
      <c r="L37" s="3">
        <f>SUM(D37:J37)</f>
        <v>16628</v>
      </c>
      <c r="M37" s="46"/>
      <c r="N37" s="3">
        <f>+'income stat'!J41</f>
        <v>556</v>
      </c>
      <c r="O37" s="46"/>
      <c r="P37" s="3">
        <f>+L37+N37</f>
        <v>17184</v>
      </c>
      <c r="Q37" s="46"/>
    </row>
    <row r="38" spans="2:17" ht="15">
      <c r="B38" s="8"/>
      <c r="D38" s="3"/>
      <c r="E38" s="3"/>
      <c r="F38" s="73"/>
      <c r="G38" s="3"/>
      <c r="H38" s="3"/>
      <c r="I38" s="3"/>
      <c r="J38" s="3"/>
      <c r="K38" s="3"/>
      <c r="L38" s="3"/>
      <c r="M38" s="46"/>
      <c r="N38" s="3"/>
      <c r="O38" s="46"/>
      <c r="P38" s="3"/>
      <c r="Q38" s="46"/>
    </row>
    <row r="39" spans="2:16" ht="15">
      <c r="B39" s="14" t="s">
        <v>55</v>
      </c>
      <c r="D39" s="6">
        <f>+D41-D31</f>
        <v>2593</v>
      </c>
      <c r="E39" s="6"/>
      <c r="F39" s="6">
        <f>+F41-F31</f>
        <v>631</v>
      </c>
      <c r="G39" s="6"/>
      <c r="H39" s="6">
        <v>0</v>
      </c>
      <c r="I39" s="6"/>
      <c r="J39" s="18">
        <v>0</v>
      </c>
      <c r="K39" s="6"/>
      <c r="L39" s="6">
        <f>SUM(D39:J39)</f>
        <v>3224</v>
      </c>
      <c r="N39" s="6">
        <v>0</v>
      </c>
      <c r="P39" s="6">
        <f>+L39+N39</f>
        <v>3224</v>
      </c>
    </row>
    <row r="40" spans="2:16" ht="15">
      <c r="B40" s="8"/>
      <c r="D40" s="6"/>
      <c r="E40" s="6"/>
      <c r="F40" s="6"/>
      <c r="G40" s="6"/>
      <c r="H40" s="6"/>
      <c r="I40" s="6"/>
      <c r="J40" s="18"/>
      <c r="K40" s="6"/>
      <c r="L40" s="6"/>
      <c r="M40" s="70"/>
      <c r="N40" s="15"/>
      <c r="O40" s="70"/>
      <c r="P40" s="15"/>
    </row>
    <row r="41" spans="2:16" ht="15.75" thickBot="1">
      <c r="B41" s="7" t="s">
        <v>115</v>
      </c>
      <c r="D41" s="57">
        <f>+'Bal sheet'!F45</f>
        <v>83857</v>
      </c>
      <c r="E41" s="57">
        <f>SUM(E32:E40)</f>
        <v>0</v>
      </c>
      <c r="F41" s="57">
        <f>+'Bal sheet'!F49</f>
        <v>6136</v>
      </c>
      <c r="G41" s="57">
        <f>SUM(G32:G40)</f>
        <v>0</v>
      </c>
      <c r="H41" s="57">
        <f>SUM(H31:H40)</f>
        <v>741</v>
      </c>
      <c r="I41" s="57">
        <f>SUM(I32:I40)</f>
        <v>0</v>
      </c>
      <c r="J41" s="57">
        <f>SUM(J31:J40)</f>
        <v>48515</v>
      </c>
      <c r="K41" s="57">
        <f>SUM(K32:K40)</f>
        <v>0</v>
      </c>
      <c r="L41" s="57">
        <f>SUM(L31:L40)</f>
        <v>139249</v>
      </c>
      <c r="M41" s="72"/>
      <c r="N41" s="107">
        <f>SUM(N31:N40)</f>
        <v>3904</v>
      </c>
      <c r="O41" s="72"/>
      <c r="P41" s="57">
        <f>SUM(P31:P40)</f>
        <v>143153</v>
      </c>
    </row>
    <row r="42" spans="2:12" ht="15">
      <c r="B42" s="8"/>
      <c r="D42" s="3"/>
      <c r="E42" s="3"/>
      <c r="F42" s="3"/>
      <c r="G42" s="3"/>
      <c r="H42" s="3"/>
      <c r="I42" s="3"/>
      <c r="J42" s="3"/>
      <c r="K42" s="3"/>
      <c r="L42" s="3"/>
    </row>
    <row r="43" spans="2:12" ht="18">
      <c r="B43" s="58"/>
      <c r="D43" s="3"/>
      <c r="E43" s="3"/>
      <c r="F43" s="3"/>
      <c r="G43" s="3"/>
      <c r="H43" s="3"/>
      <c r="I43" s="3"/>
      <c r="J43" s="3"/>
      <c r="K43" s="3"/>
      <c r="L43" s="3"/>
    </row>
    <row r="44" spans="2:12" ht="15">
      <c r="B44" s="7" t="s">
        <v>124</v>
      </c>
      <c r="D44" s="6"/>
      <c r="E44" s="6"/>
      <c r="F44" s="6"/>
      <c r="G44" s="6"/>
      <c r="H44" s="6"/>
      <c r="I44" s="6"/>
      <c r="J44" s="6"/>
      <c r="K44" s="6"/>
      <c r="L44" s="6"/>
    </row>
    <row r="45" spans="2:12" ht="15">
      <c r="B45" s="11" t="s">
        <v>17</v>
      </c>
      <c r="D45" s="6"/>
      <c r="E45" s="6"/>
      <c r="F45" s="6"/>
      <c r="G45" s="6"/>
      <c r="H45" s="6"/>
      <c r="I45" s="6"/>
      <c r="J45" s="6"/>
      <c r="K45" s="6"/>
      <c r="L45" s="6"/>
    </row>
  </sheetData>
  <mergeCells count="2">
    <mergeCell ref="D9:L9"/>
    <mergeCell ref="F10:H10"/>
  </mergeCells>
  <printOptions horizontalCentered="1"/>
  <pageMargins left="0.25" right="0.25" top="0" bottom="0.3" header="0.25" footer="0.19"/>
  <pageSetup horizontalDpi="600" verticalDpi="600" orientation="landscape" paperSize="9" scale="80" r:id="rId2"/>
  <headerFooter alignWithMargins="0">
    <oddFooter>&amp;C&amp;"Times New Roman,Italic"&amp;8- Page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 Lim</cp:lastModifiedBy>
  <cp:lastPrinted>2007-05-29T08:32:10Z</cp:lastPrinted>
  <dcterms:created xsi:type="dcterms:W3CDTF">1996-10-14T23:33:28Z</dcterms:created>
  <dcterms:modified xsi:type="dcterms:W3CDTF">2007-05-29T08:33:39Z</dcterms:modified>
  <cp:category/>
  <cp:version/>
  <cp:contentType/>
  <cp:contentStatus/>
</cp:coreProperties>
</file>